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66925"/>
  <mc:AlternateContent xmlns:mc="http://schemas.openxmlformats.org/markup-compatibility/2006">
    <mc:Choice Requires="x15">
      <x15ac:absPath xmlns:x15ac="http://schemas.microsoft.com/office/spreadsheetml/2010/11/ac" url="\\SERVER2019\Employee Data\OneDrive\2026 Forms ( Final)\2016 Tax Season\2026 Website\"/>
    </mc:Choice>
  </mc:AlternateContent>
  <xr:revisionPtr revIDLastSave="0" documentId="13_ncr:1_{4FCA676B-4129-4681-B40D-BE07826DC210}" xr6:coauthVersionLast="47" xr6:coauthVersionMax="47" xr10:uidLastSave="{00000000-0000-0000-0000-000000000000}"/>
  <workbookProtection workbookAlgorithmName="SHA-512" workbookHashValue="/fs5l8RJrzf+YORIv6UhfnHVLSzOAdGXSYhuoqMiJN5AjZl29A4AlK9QHpjzysFFEFj2MjFfST3PhzUkIObXpQ==" workbookSaltValue="Qg+uvp5eM5kCpVqt0kXHjA==" workbookSpinCount="100000" lockStructure="1"/>
  <bookViews>
    <workbookView xWindow="-120" yWindow="-120" windowWidth="29040" windowHeight="15720" xr2:uid="{439F3714-0247-47A6-9F76-3B1A5BA738D6}"/>
  </bookViews>
  <sheets>
    <sheet name="IRS Tax Estimator" sheetId="1" r:id="rId1"/>
    <sheet name="IL State Tax Estimator " sheetId="2" r:id="rId2"/>
    <sheet name="State Links and Rates" sheetId="3" r:id="rId3"/>
    <sheet name="Sheet1" sheetId="4" state="hidden" r:id="rId4"/>
  </sheets>
  <externalReferences>
    <externalReference r:id="rId5"/>
    <externalReference r:id="rId6"/>
  </externalReferences>
  <definedNames>
    <definedName name="__IntlFixup" hidden="1">TRUE</definedName>
    <definedName name="_Order1" hidden="1">0</definedName>
    <definedName name="categories" localSheetId="2">OFFSET([1]Categories!$A$1,0,0,MATCH(REPT("z",255),[1]Categories!$A$1:$A$65536),1)</definedName>
    <definedName name="categories">OFFSET(#REF!,0,0,MATCH(REPT("z",255),#REF!),1)</definedName>
    <definedName name="Data.Dump" localSheetId="0" hidden="1">OFFSET([0]!Data.Top.Left,1,0)</definedName>
    <definedName name="Data.Dump" localSheetId="2" hidden="1">OFFSET([0]!Data.Top.Left,1,0)</definedName>
    <definedName name="Data.Dump" hidden="1">OFFSET([0]!Data.Top.Left,1,0)</definedName>
    <definedName name="HTML_CodePage" hidden="1">1252</definedName>
    <definedName name="HTML_Control" localSheetId="0" hidden="1">{"'Leverage'!$B$2:$M$418"}</definedName>
    <definedName name="HTML_Control" localSheetId="2" hidden="1">{"'Leverage'!$B$2:$M$418"}</definedName>
    <definedName name="HTML_Control" hidden="1">{"'Leverage'!$B$2:$M$418"}</definedName>
    <definedName name="HTML_Description" hidden="1">""</definedName>
    <definedName name="HTML_Email" hidden="1">""</definedName>
    <definedName name="HTML_Header" hidden="1">"Leverage"</definedName>
    <definedName name="HTML_LastUpdate" hidden="1">"8/21/00"</definedName>
    <definedName name="HTML_LineAfter" hidden="1">FALSE</definedName>
    <definedName name="HTML_LineBefore" hidden="1">FALSE</definedName>
    <definedName name="HTML_Name" hidden="1">"Frank Vickers"</definedName>
    <definedName name="HTML_OBDlg2" hidden="1">TRUE</definedName>
    <definedName name="HTML_OBDlg4" hidden="1">TRUE</definedName>
    <definedName name="HTML_OS" hidden="1">0</definedName>
    <definedName name="HTML_PathFile" hidden="1">"C:\my documents\lever.htm"</definedName>
    <definedName name="HTML_Title" hidden="1">"leverage"</definedName>
    <definedName name="Macro1" localSheetId="0">'IRS Tax Estimator'!Macro1</definedName>
    <definedName name="Macro1" localSheetId="2">'State Links and Rates'!Macro1</definedName>
    <definedName name="Macro1">[0]!Macro1</definedName>
    <definedName name="Macro2" localSheetId="0">'IRS Tax Estimator'!Macro2</definedName>
    <definedName name="Macro2" localSheetId="2">'State Links and Rates'!Macro2</definedName>
    <definedName name="Macro2">[0]!Macro2</definedName>
    <definedName name="Ownership" localSheetId="0" hidden="1">OFFSET([0]!Data.Top.Left,1,0)</definedName>
    <definedName name="Ownership" localSheetId="2" hidden="1">OFFSET([0]!Data.Top.Left,1,0)</definedName>
    <definedName name="Ownership" hidden="1">OFFSET([0]!Data.Top.Left,1,0)</definedName>
    <definedName name="Purpose">#REF!</definedName>
    <definedName name="status_list" localSheetId="0">'IRS Tax Estimator'!$AO$25:$AO$28</definedName>
    <definedName name="status_list" localSheetId="2">'[2]Tax Estimator'!$AO$25:$AO$28</definedName>
    <definedName name="status_list">#REF!</definedName>
    <definedName name="tax_table" localSheetId="0">'IRS Tax Estimator'!$AC$24:$AL$46</definedName>
    <definedName name="tax_table" localSheetId="2">'[2]Tax Estimator'!$AC$24:$AL$46</definedName>
    <definedName name="tax_table">#REF!</definedName>
    <definedName name="valuevx">42.314159</definedName>
    <definedName name="vertex42_copyright" hidden="1">"© 2010-2019 by Vertex42.com"</definedName>
    <definedName name="vertex42_id" hidden="1">"expense-reimbursement-form.xlsx"</definedName>
    <definedName name="vertex42_title" hidden="1">"Expense Reimbursement Form"</definedName>
    <definedName name="year_list" localSheetId="0">'IRS Tax Estimator'!$AL$12:$AL$13</definedName>
    <definedName name="year_list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4" i="1" l="1"/>
  <c r="O4" i="1" s="1"/>
  <c r="B5" i="1" s="1"/>
  <c r="L3" i="1"/>
  <c r="O3" i="1" s="1"/>
  <c r="B4" i="1" s="1"/>
  <c r="F15" i="2"/>
  <c r="F10" i="2"/>
  <c r="C17" i="2"/>
  <c r="F62" i="1"/>
  <c r="L60" i="1"/>
  <c r="L59" i="1"/>
  <c r="F58" i="1"/>
  <c r="R10" i="1" s="1"/>
  <c r="I54" i="1"/>
  <c r="E54" i="1"/>
  <c r="D51" i="1"/>
  <c r="C51" i="1"/>
  <c r="C50" i="1"/>
  <c r="E52" i="1" s="1"/>
  <c r="I47" i="1"/>
  <c r="I46" i="1"/>
  <c r="I44" i="1"/>
  <c r="E35" i="1"/>
  <c r="I34" i="1"/>
  <c r="I33" i="1"/>
  <c r="E33" i="1"/>
  <c r="AS32" i="1"/>
  <c r="AR32" i="1"/>
  <c r="I32" i="1"/>
  <c r="AS31" i="1"/>
  <c r="E31" i="1"/>
  <c r="N30" i="1"/>
  <c r="N28" i="1" s="1"/>
  <c r="I27" i="1"/>
  <c r="G27" i="1"/>
  <c r="L23" i="1"/>
  <c r="M30" i="1" s="1"/>
  <c r="AU21" i="1" a="1"/>
  <c r="AU21" i="1" s="1"/>
  <c r="A50" i="1" s="1"/>
  <c r="E20" i="1"/>
  <c r="E18" i="1"/>
  <c r="G58" i="1" s="1"/>
  <c r="G16" i="1"/>
  <c r="L14" i="1"/>
  <c r="K14" i="1"/>
  <c r="AV13" i="1"/>
  <c r="G13" i="1"/>
  <c r="B13" i="1"/>
  <c r="G12" i="1"/>
  <c r="B12" i="1"/>
  <c r="C20" i="1" s="1"/>
  <c r="F21" i="1" s="1"/>
  <c r="G10" i="1"/>
  <c r="V7" i="1"/>
  <c r="V6" i="1"/>
  <c r="I31" i="1" s="1"/>
  <c r="AG5" i="1"/>
  <c r="AD5" i="1"/>
  <c r="R27" i="1" s="1"/>
  <c r="H5" i="1"/>
  <c r="G9" i="1" s="1"/>
  <c r="BA3" i="1"/>
  <c r="V8" i="1" l="1"/>
  <c r="F3" i="2"/>
  <c r="F7" i="2" s="1"/>
  <c r="K15" i="1"/>
  <c r="L15" i="1" s="1"/>
  <c r="BD4" i="1"/>
  <c r="E45" i="1"/>
  <c r="V22" i="1" s="1"/>
  <c r="G14" i="1"/>
  <c r="V2" i="1"/>
  <c r="V10" i="1" s="1"/>
  <c r="C18" i="1"/>
  <c r="M24" i="1"/>
  <c r="L24" i="1"/>
  <c r="M23" i="1"/>
  <c r="M25" i="1"/>
  <c r="M27" i="1" s="1"/>
  <c r="L25" i="1"/>
  <c r="E51" i="1"/>
  <c r="E50" i="1"/>
  <c r="AC8" i="1" a="1"/>
  <c r="D50" i="1"/>
  <c r="G15" i="1"/>
  <c r="G7" i="1"/>
  <c r="H27" i="1"/>
  <c r="G11" i="1"/>
  <c r="G8" i="1"/>
  <c r="D52" i="1" l="1"/>
  <c r="F51" i="1" s="1"/>
  <c r="F52" i="1" s="1"/>
  <c r="G52" i="1" s="1"/>
  <c r="F9" i="2"/>
  <c r="F11" i="2" s="1"/>
  <c r="F5" i="2" a="1"/>
  <c r="F5" i="2" s="1"/>
  <c r="AC8" i="1"/>
  <c r="M45" i="1"/>
  <c r="F22" i="1"/>
  <c r="AV11" i="1"/>
  <c r="AV14" i="1" s="1"/>
  <c r="AU15" i="1" s="1"/>
  <c r="F16" i="1" s="1"/>
  <c r="L27" i="1"/>
  <c r="G18" i="1"/>
  <c r="F18" i="1" l="1"/>
  <c r="V5" i="1" s="1"/>
  <c r="C5" i="2"/>
  <c r="F44" i="1" l="1"/>
  <c r="F35" i="1" s="1"/>
  <c r="G35" i="1" s="1"/>
  <c r="M59" i="1"/>
  <c r="F60" i="1" s="1"/>
  <c r="R12" i="1" s="1"/>
  <c r="F53" i="1"/>
  <c r="F54" i="1" s="1"/>
  <c r="G54" i="1" s="1"/>
  <c r="F32" i="1"/>
  <c r="F31" i="1" s="1"/>
  <c r="G31" i="1" s="1"/>
  <c r="BD3" i="1"/>
  <c r="J46" i="1"/>
  <c r="F34" i="1"/>
  <c r="F33" i="1" s="1"/>
  <c r="G33" i="1" s="1"/>
  <c r="F24" i="1"/>
  <c r="J47" i="1"/>
  <c r="R4" i="1"/>
  <c r="C3" i="2" s="1"/>
  <c r="V15" i="1"/>
  <c r="V16" i="1" s="1"/>
  <c r="V18" i="1" s="1"/>
  <c r="V21" i="1" s="1"/>
  <c r="V23" i="1" s="1"/>
  <c r="F45" i="1" s="1"/>
  <c r="G45" i="1" s="1"/>
  <c r="G47" i="1" s="1"/>
  <c r="X10" i="1"/>
  <c r="X11" i="1" s="1"/>
  <c r="X12" i="1" s="1"/>
  <c r="V12" i="1"/>
  <c r="V9" i="1"/>
  <c r="C15" i="2" l="1"/>
  <c r="C9" i="2"/>
  <c r="B11" i="2" s="1"/>
  <c r="C11" i="2" s="1"/>
  <c r="C13" i="2" s="1"/>
  <c r="E49" i="1"/>
  <c r="F49" i="1" s="1"/>
  <c r="G49" i="1" s="1"/>
  <c r="G56" i="1" s="1"/>
  <c r="G68" i="1" s="1"/>
  <c r="F28" i="1"/>
  <c r="F27" i="1" a="1"/>
  <c r="F27" i="1" s="1"/>
  <c r="C21" i="2" l="1"/>
  <c r="A21" i="2" s="1"/>
  <c r="N26" i="1"/>
  <c r="F47" i="1" s="1"/>
  <c r="R6" i="1" s="1"/>
  <c r="AJ7" i="1" s="1" a="1"/>
  <c r="AJ7" i="1" s="1"/>
  <c r="AF8" i="1" l="1" a="1"/>
  <c r="AF8" i="1" s="1"/>
  <c r="AJ8" i="1" a="1"/>
  <c r="AJ8" i="1" s="1"/>
  <c r="AJ9" i="1"/>
  <c r="AP8" i="1" a="1"/>
  <c r="AP8" i="1" s="1"/>
  <c r="C68" i="1" l="1"/>
  <c r="H68" i="1" s="1"/>
  <c r="AE18" i="1"/>
  <c r="F56" i="1"/>
  <c r="AJ10" i="1"/>
  <c r="AG18" i="1" s="1"/>
  <c r="AF16" i="1"/>
  <c r="AG8" i="1" a="1"/>
  <c r="AG8" i="1" s="1"/>
  <c r="AG16" i="1" s="1"/>
  <c r="R8" i="1" l="1"/>
  <c r="R26" i="1" s="1"/>
  <c r="R28" i="1" s="1"/>
  <c r="F68" i="1"/>
  <c r="BD6" i="1"/>
  <c r="BD7" i="1" s="1"/>
  <c r="BD28" i="1" s="1"/>
  <c r="E64" i="1"/>
  <c r="R14" i="1" l="1"/>
  <c r="P14" i="1" s="1"/>
  <c r="F64" i="1"/>
  <c r="F66" i="1" l="1"/>
  <c r="G64" i="1"/>
  <c r="G66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Pramod Zacharias</author>
  </authors>
  <commentList>
    <comment ref="A7" authorId="0" shapeId="0" xr:uid="{7BC4F92B-9409-4204-AFD7-A63B5B082661}">
      <text>
        <r>
          <rPr>
            <b/>
            <sz val="9"/>
            <color indexed="81"/>
            <rFont val="Tahoma"/>
            <family val="2"/>
          </rPr>
          <t>IL 529 plan contributions are deductible up to $20,000 for Married Filing Jointly (MFJ) and $10,000 for all other filing statuses.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<sst xmlns="http://schemas.openxmlformats.org/spreadsheetml/2006/main" count="1038" uniqueCount="461">
  <si>
    <t>Single</t>
  </si>
  <si>
    <t>MFJ</t>
  </si>
  <si>
    <t>MFS</t>
  </si>
  <si>
    <t>HH</t>
  </si>
  <si>
    <t>Tax Planning Worksheet</t>
  </si>
  <si>
    <t xml:space="preserve">Tax Estimator </t>
  </si>
  <si>
    <t xml:space="preserve"> </t>
  </si>
  <si>
    <t>Summary</t>
  </si>
  <si>
    <t>A1</t>
  </si>
  <si>
    <t>Qualified Business Income (QBI)</t>
  </si>
  <si>
    <t>Your Name</t>
  </si>
  <si>
    <t>No of Dependents Less than 17 Years</t>
  </si>
  <si>
    <t>Please select the tax year</t>
  </si>
  <si>
    <t>B1</t>
  </si>
  <si>
    <t>W-2 Wages paid by the business</t>
  </si>
  <si>
    <t>Income Tax Bracket Calculation</t>
  </si>
  <si>
    <t>Your Date of Birth</t>
  </si>
  <si>
    <t>No of Dependents aged 17 or above</t>
  </si>
  <si>
    <t>Adjusted Gross Income</t>
  </si>
  <si>
    <t>C1</t>
  </si>
  <si>
    <t>Unadjusted Basis Immediately After Acquisition (UBIA) of qualified property</t>
  </si>
  <si>
    <t>Social Security and Medicare Tax</t>
  </si>
  <si>
    <t>Spouse Date of Birth</t>
  </si>
  <si>
    <t>Please select your filing status</t>
  </si>
  <si>
    <t>May</t>
  </si>
  <si>
    <t>Please select the filing status</t>
  </si>
  <si>
    <t>D1</t>
  </si>
  <si>
    <t>Total Taxable Income (TI)</t>
  </si>
  <si>
    <t>Filing as</t>
  </si>
  <si>
    <t>Tax Year</t>
  </si>
  <si>
    <t>With MAP</t>
  </si>
  <si>
    <t>State Income Tax</t>
  </si>
  <si>
    <t>Income Source</t>
  </si>
  <si>
    <t>Taxable Amount</t>
  </si>
  <si>
    <t xml:space="preserve">Estimated /Withholding Tax </t>
  </si>
  <si>
    <t>Amount $$$$</t>
  </si>
  <si>
    <t xml:space="preserve">Estimated Full Year Income </t>
  </si>
  <si>
    <t>Additional Medicare Tax</t>
  </si>
  <si>
    <t>Taxable Income</t>
  </si>
  <si>
    <t>E1</t>
  </si>
  <si>
    <t>Lower Phase-in Threshold (e.g., $182,100 for Single, $364,200 for Married Filing Jointly for 2023)</t>
  </si>
  <si>
    <t>Federal Income Tax</t>
  </si>
  <si>
    <t>Your W-2 Wages (Column 1)</t>
  </si>
  <si>
    <t>Your W2 Fed Tax withholding (Col 2)</t>
  </si>
  <si>
    <t>Filing Status</t>
  </si>
  <si>
    <t>Income Threshold</t>
  </si>
  <si>
    <t>F1</t>
  </si>
  <si>
    <t>Upper Phase-out Threshold (Lower Threshold + $50,000 for Single, +$100,000 for MFJ for 2023)</t>
  </si>
  <si>
    <t>From</t>
  </si>
  <si>
    <t>To</t>
  </si>
  <si>
    <t>Tax rate</t>
  </si>
  <si>
    <t>Income</t>
  </si>
  <si>
    <t>Taxes</t>
  </si>
  <si>
    <t xml:space="preserve">Taxable Income </t>
  </si>
  <si>
    <t>Net Income After all the Deductions</t>
  </si>
  <si>
    <t>Spouse W-2 Wages  (Col 1)</t>
  </si>
  <si>
    <t>Spouse W2 Fed Tax withholding (Col 2)</t>
  </si>
  <si>
    <t>Estimated Tax Due</t>
  </si>
  <si>
    <t>G1</t>
  </si>
  <si>
    <t>Phase-in/Phase-out Range (F1 - E1)</t>
  </si>
  <si>
    <t>Interest/Dividends (Taxable)</t>
  </si>
  <si>
    <t>Estimated Tax Payments</t>
  </si>
  <si>
    <t>H1</t>
  </si>
  <si>
    <t>Taxable Income Above Lower Threshold</t>
  </si>
  <si>
    <t>Marginal Rate</t>
  </si>
  <si>
    <t>Pension/1099R Income</t>
  </si>
  <si>
    <t>Total Tax Withheld</t>
  </si>
  <si>
    <t>I1</t>
  </si>
  <si>
    <t>Maximum QBI Deduction (20% of QBI)</t>
  </si>
  <si>
    <t>Effective Rate</t>
  </si>
  <si>
    <t>Combined Income</t>
  </si>
  <si>
    <t>Net Rental/Other Income</t>
  </si>
  <si>
    <t>Your Pre Tax Items (401K/HSA etc)</t>
  </si>
  <si>
    <t>Qualifying Widow(er)</t>
  </si>
  <si>
    <t>Year</t>
  </si>
  <si>
    <t>Total income</t>
  </si>
  <si>
    <t>Short Term Gain</t>
  </si>
  <si>
    <t>Spouse Pre Tax Items (401K/HSA etc)</t>
  </si>
  <si>
    <t>Credits (Child , College, Solar)</t>
  </si>
  <si>
    <t>QBI</t>
  </si>
  <si>
    <t>Non Taxable Interest income</t>
  </si>
  <si>
    <t>Long Term Gain</t>
  </si>
  <si>
    <t xml:space="preserve">HSA (Outside of W2)/Traditional IRA </t>
  </si>
  <si>
    <t>AQ</t>
  </si>
  <si>
    <t>1/2 of Social Security</t>
  </si>
  <si>
    <t>Net S Corp Income</t>
  </si>
  <si>
    <t>Your LLC /Self Employed</t>
  </si>
  <si>
    <t>(Excess TI)</t>
  </si>
  <si>
    <t>Spouse LLC /Self Employed</t>
  </si>
  <si>
    <t xml:space="preserve"> Social Security Income</t>
  </si>
  <si>
    <t>Please Select</t>
  </si>
  <si>
    <t>IRS Underpayment Penalty Safe Harbor Amount</t>
  </si>
  <si>
    <t>(Phase-in %)</t>
  </si>
  <si>
    <t>Total (Ex. Cap Gains &amp; Addl Tax)</t>
  </si>
  <si>
    <t>Unemployment Income</t>
  </si>
  <si>
    <t>Education and Renewable Energy Credits.</t>
  </si>
  <si>
    <t>Please list your personal expenses below ( Yearly)</t>
  </si>
  <si>
    <t>Total Before the capital gain</t>
  </si>
  <si>
    <t>Adjusted Gross Income (AGI)</t>
  </si>
  <si>
    <t>Jan</t>
  </si>
  <si>
    <t>2024 AGI (1040 Line 11)</t>
  </si>
  <si>
    <t>(AP - Raw)</t>
  </si>
  <si>
    <t>Social Security Limits</t>
  </si>
  <si>
    <t>Gross Mortgage Yearly</t>
  </si>
  <si>
    <t>Property Tax, Insurance</t>
  </si>
  <si>
    <t>Short-Term Capital Gains</t>
  </si>
  <si>
    <t>Long-Term Capital Gains</t>
  </si>
  <si>
    <t>Health Insurance</t>
  </si>
  <si>
    <t>Short-Term Capital Losses</t>
  </si>
  <si>
    <t>Long-Term Capital Losses</t>
  </si>
  <si>
    <t>2024 Tax ( 1040 Line 24)</t>
  </si>
  <si>
    <t>(AP - Final)</t>
  </si>
  <si>
    <t>Tax rate table</t>
  </si>
  <si>
    <t>Kids College/School Exp</t>
  </si>
  <si>
    <t>Extra Standard Deduction is $2,000 (Single) or $1,600 (MFJ/MFS) per person who is 65+ or Blind.</t>
  </si>
  <si>
    <t>Parents Expense</t>
  </si>
  <si>
    <t>Tax Rate</t>
  </si>
  <si>
    <t>Single Taxpayer</t>
  </si>
  <si>
    <t>Married Filing Jointly</t>
  </si>
  <si>
    <t>Married Filing Separately</t>
  </si>
  <si>
    <t>Head of Household</t>
  </si>
  <si>
    <t>Vacation Expense</t>
  </si>
  <si>
    <t>$6000 senior deduction (65+) phaseout starts at $75k (Single) / $150k (MFJ).</t>
  </si>
  <si>
    <t>Tax payer status</t>
  </si>
  <si>
    <t>Unallowed Business Loss ( Passive)</t>
  </si>
  <si>
    <t>Feb</t>
  </si>
  <si>
    <t xml:space="preserve">Medical Expense </t>
  </si>
  <si>
    <t>Comparison of Standard vs. Itemized Deductions</t>
  </si>
  <si>
    <t>Standard Deduction</t>
  </si>
  <si>
    <t>Minimum Tax Due</t>
  </si>
  <si>
    <t xml:space="preserve">Car Payments </t>
  </si>
  <si>
    <t>Property Tax</t>
  </si>
  <si>
    <t xml:space="preserve">Mortgage Interest </t>
  </si>
  <si>
    <t>Donations</t>
  </si>
  <si>
    <t xml:space="preserve"> State Tax </t>
  </si>
  <si>
    <t xml:space="preserve">Safe Harbor Amount </t>
  </si>
  <si>
    <t>Net Income Available for Planning</t>
  </si>
  <si>
    <t>Overtime Income</t>
  </si>
  <si>
    <t>Tip Income</t>
  </si>
  <si>
    <t xml:space="preserve">Car Loan Interest </t>
  </si>
  <si>
    <t>Apr</t>
  </si>
  <si>
    <t xml:space="preserve">No Tax on Overtime Deduction </t>
  </si>
  <si>
    <t>and up</t>
  </si>
  <si>
    <t>No Tax on Tips Deduction</t>
  </si>
  <si>
    <t>New Car Loan Interest Deduction (2025 loan, U.S.-assembled vehicles)</t>
  </si>
  <si>
    <t>The QBI deduction (Single filers: $197,300, MFJ: 394,600,HHH:197,300)</t>
  </si>
  <si>
    <t>Jun</t>
  </si>
  <si>
    <t>Projected Taxable Income after the IRA/HSA/QBI/Bonus Deductions</t>
  </si>
  <si>
    <t>Jul</t>
  </si>
  <si>
    <t>Aug</t>
  </si>
  <si>
    <t>L T Capital Gain Tax @ 15% or 20% or  Smaller</t>
  </si>
  <si>
    <t>Sep</t>
  </si>
  <si>
    <t>Oct</t>
  </si>
  <si>
    <t>Nov</t>
  </si>
  <si>
    <t>Dec</t>
  </si>
  <si>
    <t>Net Investment Tax ( AGI above 250K for MFJ, 200K for Single/ HH/MFS)</t>
  </si>
  <si>
    <t xml:space="preserve">Projected Total Tax </t>
  </si>
  <si>
    <t>Income Tax Withholding and Estimated Tax Payments (Total)</t>
  </si>
  <si>
    <t>Child Tax Credit ($2,200 per child under 17 and $500 for other dependents)</t>
  </si>
  <si>
    <t>Enter various Income Tax Credits, including College and Solar credits.</t>
  </si>
  <si>
    <t>Net Tax Due (IRS) or Refund (A negative result means a refund.)</t>
  </si>
  <si>
    <t>Add 5% for safety since the calculation is approximately 95% accurate.</t>
  </si>
  <si>
    <t>Average Rate ( Tax Tax/Total Income)</t>
  </si>
  <si>
    <t>State Tax</t>
  </si>
  <si>
    <t xml:space="preserve">Income Tax withheld </t>
  </si>
  <si>
    <t>Estimated Tax</t>
  </si>
  <si>
    <t>Exclude IRA/SS/Penion Income</t>
  </si>
  <si>
    <t>IL Property Tax Credit</t>
  </si>
  <si>
    <t>Exemptions</t>
  </si>
  <si>
    <t xml:space="preserve">Exemptions @ </t>
  </si>
  <si>
    <t>Other Deductions</t>
  </si>
  <si>
    <t>Federal Tax withholding from 1099R/G/Misc</t>
  </si>
  <si>
    <t>Self-Employed Health Insurance Deduction</t>
  </si>
  <si>
    <t>For capital/stock losses: Enter as a negative value (e.g., -500)</t>
  </si>
  <si>
    <t>S  Portion (12.4%) and 2.9% Medicare</t>
  </si>
  <si>
    <t>2025 Illinois State Tax Estimator</t>
  </si>
  <si>
    <t>Estimated Tax Payment Links &amp; Individual Income Tax Rates ( Make sure to select the tax year as 2025)</t>
  </si>
  <si>
    <t>IRS</t>
  </si>
  <si>
    <t>IRS.Gov</t>
  </si>
  <si>
    <t>https://directpay.irs.gov/directpay/payment?execution=e1s1</t>
  </si>
  <si>
    <t>State</t>
  </si>
  <si>
    <t>Official Payment Portal Name</t>
  </si>
  <si>
    <t>Direct Payment Link / Instruction</t>
  </si>
  <si>
    <t>Individual Income Tax Rate Range</t>
  </si>
  <si>
    <t>Alabama</t>
  </si>
  <si>
    <t>My Alabama Taxes (MAT)</t>
  </si>
  <si>
    <t>Online Estimate Payments and Extension Payments</t>
  </si>
  <si>
    <r>
      <t>2.0% to 5.0%</t>
    </r>
    <r>
      <rPr>
        <sz val="11"/>
        <color theme="1"/>
        <rFont val="Calibri"/>
        <family val="2"/>
        <scheme val="minor"/>
      </rPr>
      <t xml:space="preserve"> (Four Brackets)</t>
    </r>
  </si>
  <si>
    <t>Arizona</t>
  </si>
  <si>
    <t>AZTaxes.gov</t>
  </si>
  <si>
    <t>Arizona Direct File/Estimated Tax Payments</t>
  </si>
  <si>
    <r>
      <t>2.50%</t>
    </r>
    <r>
      <rPr>
        <sz val="11"/>
        <color theme="1"/>
        <rFont val="Calibri"/>
        <family val="2"/>
        <scheme val="minor"/>
      </rPr>
      <t xml:space="preserve"> (Flat Tax)</t>
    </r>
  </si>
  <si>
    <t>Arkansas</t>
  </si>
  <si>
    <t>Arkansas Taxpayer Access Point (ATAP)</t>
  </si>
  <si>
    <t>ATAP Portal</t>
  </si>
  <si>
    <r>
      <t>2.0% to 4.4%</t>
    </r>
    <r>
      <rPr>
        <sz val="11"/>
        <color theme="1"/>
        <rFont val="Calibri"/>
        <family val="2"/>
        <scheme val="minor"/>
      </rPr>
      <t xml:space="preserve"> (Six Brackets)</t>
    </r>
  </si>
  <si>
    <t>California</t>
  </si>
  <si>
    <r>
      <t>Web Pay for Individuals</t>
    </r>
    <r>
      <rPr>
        <sz val="11"/>
        <color theme="1"/>
        <rFont val="Calibri"/>
        <family val="2"/>
        <scheme val="minor"/>
      </rPr>
      <t xml:space="preserve"> (FTB)</t>
    </r>
  </si>
  <si>
    <t>Web Pay Login for Individuals</t>
  </si>
  <si>
    <r>
      <t>1.0% to 13.3%</t>
    </r>
    <r>
      <rPr>
        <sz val="11"/>
        <color theme="1"/>
        <rFont val="Calibri"/>
        <family val="2"/>
        <scheme val="minor"/>
      </rPr>
      <t xml:space="preserve"> (Ten Brackets)</t>
    </r>
  </si>
  <si>
    <t>Colorado</t>
  </si>
  <si>
    <t>Revenue Online</t>
  </si>
  <si>
    <t>Colorado Department of Revenue Payment Page</t>
  </si>
  <si>
    <r>
      <t>4.40%</t>
    </r>
    <r>
      <rPr>
        <sz val="11"/>
        <color theme="1"/>
        <rFont val="Calibri"/>
        <family val="2"/>
        <scheme val="minor"/>
      </rPr>
      <t xml:space="preserve"> (Flat Tax)</t>
    </r>
  </si>
  <si>
    <t>Connecticut</t>
  </si>
  <si>
    <t>myconneCT</t>
  </si>
  <si>
    <t>myconneCT Individual Tax Payment Page</t>
  </si>
  <si>
    <r>
      <t>2.0% to 6.99%</t>
    </r>
    <r>
      <rPr>
        <sz val="11"/>
        <color theme="1"/>
        <rFont val="Calibri"/>
        <family val="2"/>
        <scheme val="minor"/>
      </rPr>
      <t xml:space="preserve"> (Seven Brackets)</t>
    </r>
  </si>
  <si>
    <t>Delaware</t>
  </si>
  <si>
    <t>Delaware Taxpayer Portal</t>
  </si>
  <si>
    <t>Delaware Tax Portal</t>
  </si>
  <si>
    <r>
      <t>2.2% to 6.60%</t>
    </r>
    <r>
      <rPr>
        <sz val="11"/>
        <color theme="1"/>
        <rFont val="Calibri"/>
        <family val="2"/>
        <scheme val="minor"/>
      </rPr>
      <t xml:space="preserve"> (Six Brackets)</t>
    </r>
  </si>
  <si>
    <t>D.C.</t>
  </si>
  <si>
    <t>MyTax.DC.gov</t>
  </si>
  <si>
    <t>[Payment Options</t>
  </si>
  <si>
    <t>DC Office of Tax and Revenue](https://otr.cfo.dc.gov/page/payment-options)</t>
  </si>
  <si>
    <t>Georgia</t>
  </si>
  <si>
    <t>Georgia Tax Center (GTC)</t>
  </si>
  <si>
    <t>Make a Quick Payment</t>
  </si>
  <si>
    <r>
      <t>1.0% to 5.49%</t>
    </r>
    <r>
      <rPr>
        <sz val="11"/>
        <color theme="1"/>
        <rFont val="Calibri"/>
        <family val="2"/>
        <scheme val="minor"/>
      </rPr>
      <t xml:space="preserve"> (Four Brackets - transitioning to a flat rate)</t>
    </r>
  </si>
  <si>
    <t>Hawaii</t>
  </si>
  <si>
    <t>Hawaiʻi Tax Online (HTO)</t>
  </si>
  <si>
    <t>Hawaiʻi Tax Online (HTO) Services</t>
  </si>
  <si>
    <r>
      <t>1.4% to 11.0%</t>
    </r>
    <r>
      <rPr>
        <sz val="11"/>
        <color theme="1"/>
        <rFont val="Calibri"/>
        <family val="2"/>
        <scheme val="minor"/>
      </rPr>
      <t xml:space="preserve"> (Twelve Brackets)</t>
    </r>
  </si>
  <si>
    <t>Idaho</t>
  </si>
  <si>
    <t>Taxpayer Access Point (TAP)</t>
  </si>
  <si>
    <t>Idaho State Tax Commission E-Pay</t>
  </si>
  <si>
    <r>
      <t>5.8%</t>
    </r>
    <r>
      <rPr>
        <sz val="11"/>
        <color theme="1"/>
        <rFont val="Calibri"/>
        <family val="2"/>
        <scheme val="minor"/>
      </rPr>
      <t xml:space="preserve"> (Flat Tax)</t>
    </r>
  </si>
  <si>
    <t>Illinois</t>
  </si>
  <si>
    <t>MyTax Illinois</t>
  </si>
  <si>
    <t>Pay online at MyTax Illinois</t>
  </si>
  <si>
    <r>
      <t>4.95%</t>
    </r>
    <r>
      <rPr>
        <sz val="11"/>
        <color theme="1"/>
        <rFont val="Calibri"/>
        <family val="2"/>
        <scheme val="minor"/>
      </rPr>
      <t xml:space="preserve"> (Flat Tax)</t>
    </r>
  </si>
  <si>
    <t>Indiana</t>
  </si>
  <si>
    <t>INTIME</t>
  </si>
  <si>
    <t>Payments &amp; Billing - DOR</t>
  </si>
  <si>
    <r>
      <t>3.15%</t>
    </r>
    <r>
      <rPr>
        <sz val="11"/>
        <color theme="1"/>
        <rFont val="Calibri"/>
        <family val="2"/>
        <scheme val="minor"/>
      </rPr>
      <t xml:space="preserve"> (Flat Tax)</t>
    </r>
  </si>
  <si>
    <t>Iowa</t>
  </si>
  <si>
    <t>GovConnectIowa</t>
  </si>
  <si>
    <t>Iowa Department of Revenue Payment Options</t>
  </si>
  <si>
    <r>
      <t>4.40% to 6.00%</t>
    </r>
    <r>
      <rPr>
        <sz val="11"/>
        <color theme="1"/>
        <rFont val="Calibri"/>
        <family val="2"/>
        <scheme val="minor"/>
      </rPr>
      <t xml:space="preserve"> (Four Brackets - reducing to a flat rate)</t>
    </r>
  </si>
  <si>
    <t>Kansas</t>
  </si>
  <si>
    <t>KDOR Payment Portal</t>
  </si>
  <si>
    <t>Kansas Department of Revenue Payment Portal</t>
  </si>
  <si>
    <r>
      <t>3.10% to 5.7%</t>
    </r>
    <r>
      <rPr>
        <sz val="11"/>
        <color theme="1"/>
        <rFont val="Calibri"/>
        <family val="2"/>
        <scheme val="minor"/>
      </rPr>
      <t xml:space="preserve"> (Three Brackets)</t>
    </r>
  </si>
  <si>
    <t>Kentucky</t>
  </si>
  <si>
    <t>Electronic Payment Application</t>
  </si>
  <si>
    <t>Kentucky Department of Revenue ePayment</t>
  </si>
  <si>
    <r>
      <t>4.50%</t>
    </r>
    <r>
      <rPr>
        <sz val="11"/>
        <color theme="1"/>
        <rFont val="Calibri"/>
        <family val="2"/>
        <scheme val="minor"/>
      </rPr>
      <t xml:space="preserve"> (Flat Tax)</t>
    </r>
  </si>
  <si>
    <t>Maine</t>
  </si>
  <si>
    <t>Maine Tax Portal</t>
  </si>
  <si>
    <t>Maine Tax Portal Home</t>
  </si>
  <si>
    <r>
      <t>5.8% to 7.15%</t>
    </r>
    <r>
      <rPr>
        <sz val="11"/>
        <color theme="1"/>
        <rFont val="Calibri"/>
        <family val="2"/>
        <scheme val="minor"/>
      </rPr>
      <t xml:space="preserve"> (Three Brackets)</t>
    </r>
  </si>
  <si>
    <t>Maryland</t>
  </si>
  <si>
    <t>Individual Online Service Center</t>
  </si>
  <si>
    <t>Make a personal estimated payment - Form PV</t>
  </si>
  <si>
    <r>
      <t>2.0% to 5.75%</t>
    </r>
    <r>
      <rPr>
        <sz val="11"/>
        <color theme="1"/>
        <rFont val="Calibri"/>
        <family val="2"/>
        <scheme val="minor"/>
      </rPr>
      <t xml:space="preserve"> (Eight Brackets)</t>
    </r>
  </si>
  <si>
    <t>Massachusetts</t>
  </si>
  <si>
    <t>MassTaxConnect</t>
  </si>
  <si>
    <t>DOR Estimated Tax Payments</t>
  </si>
  <si>
    <r>
      <t>5.0%</t>
    </r>
    <r>
      <rPr>
        <sz val="11"/>
        <color theme="1"/>
        <rFont val="Calibri"/>
        <family val="2"/>
        <scheme val="minor"/>
      </rPr>
      <t xml:space="preserve"> (Flat Tax on most income)</t>
    </r>
  </si>
  <si>
    <t>Michigan</t>
  </si>
  <si>
    <t>MiTreasury eServices - Citizen Portal</t>
  </si>
  <si>
    <t>eServices - Individual Income Tax</t>
  </si>
  <si>
    <r>
      <t>4.25%</t>
    </r>
    <r>
      <rPr>
        <sz val="11"/>
        <color theme="1"/>
        <rFont val="Calibri"/>
        <family val="2"/>
        <scheme val="minor"/>
      </rPr>
      <t xml:space="preserve"> (Flat Tax)</t>
    </r>
  </si>
  <si>
    <t>Minnesota</t>
  </si>
  <si>
    <t>e-Services</t>
  </si>
  <si>
    <t>MN Department of Revenue Make a Payment</t>
  </si>
  <si>
    <r>
      <t>5.35% to 7.85%</t>
    </r>
    <r>
      <rPr>
        <sz val="11"/>
        <color theme="1"/>
        <rFont val="Calibri"/>
        <family val="2"/>
        <scheme val="minor"/>
      </rPr>
      <t xml:space="preserve"> (Four Brackets)</t>
    </r>
  </si>
  <si>
    <t>Mississippi</t>
  </si>
  <si>
    <t>Mississippi Taxpayer Access Point (TAP)</t>
  </si>
  <si>
    <r>
      <t>5.0%</t>
    </r>
    <r>
      <rPr>
        <sz val="11"/>
        <color theme="1"/>
        <rFont val="Calibri"/>
        <family val="2"/>
        <scheme val="minor"/>
      </rPr>
      <t xml:space="preserve"> (Flat Tax - starting 2024, after phase-in)</t>
    </r>
  </si>
  <si>
    <t>Missouri</t>
  </si>
  <si>
    <t>MyTax Missouri</t>
  </si>
  <si>
    <t>Make a Personal Income Tax Estimated Payment (MO-1040ES)</t>
  </si>
  <si>
    <r>
      <t>0% to 4.8%</t>
    </r>
    <r>
      <rPr>
        <sz val="11"/>
        <color theme="1"/>
        <rFont val="Calibri"/>
        <family val="2"/>
        <scheme val="minor"/>
      </rPr>
      <t xml:space="preserve"> (Five Brackets)</t>
    </r>
  </si>
  <si>
    <t>Montana</t>
  </si>
  <si>
    <t>TransAction Portal (TAP)</t>
  </si>
  <si>
    <t>Making Estimated Tax Payments</t>
  </si>
  <si>
    <r>
      <t>4.7% to 5.9%</t>
    </r>
    <r>
      <rPr>
        <sz val="11"/>
        <color theme="1"/>
        <rFont val="Calibri"/>
        <family val="2"/>
        <scheme val="minor"/>
      </rPr>
      <t xml:space="preserve"> (Two Brackets)</t>
    </r>
  </si>
  <si>
    <t>Nebraska</t>
  </si>
  <si>
    <t>Nebraska e-pay</t>
  </si>
  <si>
    <t>Individual Estimated Income Tax e-pay</t>
  </si>
  <si>
    <r>
      <t>2.46% to 5.84%</t>
    </r>
    <r>
      <rPr>
        <sz val="11"/>
        <color theme="1"/>
        <rFont val="Calibri"/>
        <family val="2"/>
        <scheme val="minor"/>
      </rPr>
      <t xml:space="preserve"> (Four Brackets - reducing to a flat rate)</t>
    </r>
  </si>
  <si>
    <t>New Hampshire</t>
  </si>
  <si>
    <t>Granite Tax Connect (GTC)</t>
  </si>
  <si>
    <t>GTC Portal</t>
  </si>
  <si>
    <r>
      <t>3.0%</t>
    </r>
    <r>
      <rPr>
        <sz val="11"/>
        <color theme="1"/>
        <rFont val="Calibri"/>
        <family val="2"/>
        <scheme val="minor"/>
      </rPr>
      <t xml:space="preserve"> (Tax on Interest &amp; Dividends only)</t>
    </r>
  </si>
  <si>
    <t>New Jersey</t>
  </si>
  <si>
    <t>NJ Division of Taxation</t>
  </si>
  <si>
    <t>NJ Income Tax Estimated Payments Page</t>
  </si>
  <si>
    <r>
      <t>1.4% to 10.75%</t>
    </r>
    <r>
      <rPr>
        <sz val="11"/>
        <color theme="1"/>
        <rFont val="Calibri"/>
        <family val="2"/>
        <scheme val="minor"/>
      </rPr>
      <t xml:space="preserve"> (Seven Brackets)</t>
    </r>
  </si>
  <si>
    <t>New Mexico</t>
  </si>
  <si>
    <t>Make a Payment on TAP</t>
  </si>
  <si>
    <r>
      <t>1.7% to 5.9%</t>
    </r>
    <r>
      <rPr>
        <sz val="11"/>
        <color theme="1"/>
        <rFont val="Calibri"/>
        <family val="2"/>
        <scheme val="minor"/>
      </rPr>
      <t xml:space="preserve"> (Four Brackets)</t>
    </r>
  </si>
  <si>
    <t>New York</t>
  </si>
  <si>
    <t>Individual Online Services</t>
  </si>
  <si>
    <t>Make an estimated income tax payment</t>
  </si>
  <si>
    <r>
      <t>4.0% to 10.9%</t>
    </r>
    <r>
      <rPr>
        <sz val="11"/>
        <color theme="1"/>
        <rFont val="Calibri"/>
        <family val="2"/>
        <scheme val="minor"/>
      </rPr>
      <t xml:space="preserve"> (Eight Brackets)</t>
    </r>
  </si>
  <si>
    <t>North Carolina</t>
  </si>
  <si>
    <t>NCDOR Payment Application</t>
  </si>
  <si>
    <t>Pay Estimated Individual Income Tax</t>
  </si>
  <si>
    <t>North Dakota</t>
  </si>
  <si>
    <t>Make A Payment on ND Tax.gov</t>
  </si>
  <si>
    <r>
      <t>1.10% to 2.90%</t>
    </r>
    <r>
      <rPr>
        <sz val="11"/>
        <color theme="1"/>
        <rFont val="Calibri"/>
        <family val="2"/>
        <scheme val="minor"/>
      </rPr>
      <t xml:space="preserve"> (Four Brackets)</t>
    </r>
  </si>
  <si>
    <t>Ohio</t>
  </si>
  <si>
    <t>Oklahoma</t>
  </si>
  <si>
    <t>OkTAP</t>
  </si>
  <si>
    <t>OkTAP Payment Portal</t>
  </si>
  <si>
    <r>
      <t>0.25% to 4.75%</t>
    </r>
    <r>
      <rPr>
        <sz val="11"/>
        <color theme="1"/>
        <rFont val="Calibri"/>
        <family val="2"/>
        <scheme val="minor"/>
      </rPr>
      <t xml:space="preserve"> (Four Brackets)</t>
    </r>
  </si>
  <si>
    <t>Oregon</t>
  </si>
  <si>
    <t>Revenue Online Payment Page</t>
  </si>
  <si>
    <r>
      <t>4.75% to 9.9%</t>
    </r>
    <r>
      <rPr>
        <sz val="11"/>
        <color theme="1"/>
        <rFont val="Calibri"/>
        <family val="2"/>
        <scheme val="minor"/>
      </rPr>
      <t xml:space="preserve"> (Four Brackets)</t>
    </r>
  </si>
  <si>
    <t>Pennsylvania</t>
  </si>
  <si>
    <t>myPATH</t>
  </si>
  <si>
    <t>Make a Personal Income Tax Payment on myPATH</t>
  </si>
  <si>
    <r>
      <t>3.07%</t>
    </r>
    <r>
      <rPr>
        <sz val="11"/>
        <color theme="1"/>
        <rFont val="Calibri"/>
        <family val="2"/>
        <scheme val="minor"/>
      </rPr>
      <t xml:space="preserve"> (Flat Tax)</t>
    </r>
  </si>
  <si>
    <t>Rhode Island</t>
  </si>
  <si>
    <t>RI Tax Portal</t>
  </si>
  <si>
    <t>Rhode Island Tax Portal</t>
  </si>
  <si>
    <r>
      <t>3.75% to 5.99%</t>
    </r>
    <r>
      <rPr>
        <sz val="11"/>
        <color theme="1"/>
        <rFont val="Calibri"/>
        <family val="2"/>
        <scheme val="minor"/>
      </rPr>
      <t xml:space="preserve"> (Three Brackets)</t>
    </r>
  </si>
  <si>
    <t>South Carolina</t>
  </si>
  <si>
    <t>MyDORWAY</t>
  </si>
  <si>
    <t>Pay on MyDORWAY</t>
  </si>
  <si>
    <r>
      <t>0% to 6.4%</t>
    </r>
    <r>
      <rPr>
        <sz val="11"/>
        <color theme="1"/>
        <rFont val="Calibri"/>
        <family val="2"/>
        <scheme val="minor"/>
      </rPr>
      <t xml:space="preserve"> (Six Brackets)</t>
    </r>
  </si>
  <si>
    <t>Utah</t>
  </si>
  <si>
    <t>Pay at tap.utah.gov</t>
  </si>
  <si>
    <r>
      <t>4.65%</t>
    </r>
    <r>
      <rPr>
        <sz val="11"/>
        <color theme="1"/>
        <rFont val="Calibri"/>
        <family val="2"/>
        <scheme val="minor"/>
      </rPr>
      <t xml:space="preserve"> (Flat Tax)</t>
    </r>
  </si>
  <si>
    <t>Vermont</t>
  </si>
  <si>
    <t>myVTax</t>
  </si>
  <si>
    <t>Pay Estimated Income Tax via myVTax</t>
  </si>
  <si>
    <r>
      <t>3.35% to 8.75%</t>
    </r>
    <r>
      <rPr>
        <sz val="11"/>
        <color theme="1"/>
        <rFont val="Calibri"/>
        <family val="2"/>
        <scheme val="minor"/>
      </rPr>
      <t xml:space="preserve"> (Five Brackets)</t>
    </r>
  </si>
  <si>
    <t>Virginia</t>
  </si>
  <si>
    <t>Virginia Tax Online Services</t>
  </si>
  <si>
    <t>Individual Estimated Tax Payments</t>
  </si>
  <si>
    <r>
      <t>2.0% to 5.75%</t>
    </r>
    <r>
      <rPr>
        <sz val="11"/>
        <color theme="1"/>
        <rFont val="Calibri"/>
        <family val="2"/>
        <scheme val="minor"/>
      </rPr>
      <t xml:space="preserve"> (Four Brackets)</t>
    </r>
  </si>
  <si>
    <t>West Virginia</t>
  </si>
  <si>
    <t>MyTaxes Website</t>
  </si>
  <si>
    <t>Pay Personal Income Tax</t>
  </si>
  <si>
    <r>
      <t>2.36% to 5.12%</t>
    </r>
    <r>
      <rPr>
        <sz val="11"/>
        <color theme="1"/>
        <rFont val="Calibri"/>
        <family val="2"/>
        <scheme val="minor"/>
      </rPr>
      <t xml:space="preserve"> (Five Brackets)</t>
    </r>
  </si>
  <si>
    <t>Wisconsin</t>
  </si>
  <si>
    <t>Quick Pay or My Tax Account</t>
  </si>
  <si>
    <t>WI Department of Revenue Online Payment System</t>
  </si>
  <si>
    <r>
      <t>3.5% to 7.65%</t>
    </r>
    <r>
      <rPr>
        <sz val="11"/>
        <color theme="1"/>
        <rFont val="Calibri"/>
        <family val="2"/>
        <scheme val="minor"/>
      </rPr>
      <t xml:space="preserve"> (Four Brackets)</t>
    </r>
  </si>
  <si>
    <t>Alaska</t>
  </si>
  <si>
    <t>(No Individual Income Tax)</t>
  </si>
  <si>
    <t>Florida</t>
  </si>
  <si>
    <t>Nevada</t>
  </si>
  <si>
    <t>South Dakota</t>
  </si>
  <si>
    <t>Tennessee</t>
  </si>
  <si>
    <t>(Limited Tax Phased Out)</t>
  </si>
  <si>
    <t>Texas</t>
  </si>
  <si>
    <t>Washington</t>
  </si>
  <si>
    <t>Wyoming</t>
  </si>
  <si>
    <t>This table should complete your comprehensive estimated tax payment resource! Let me know if you need any of this data formatted differently.</t>
  </si>
  <si>
    <t>State With No Income Tax</t>
  </si>
  <si>
    <t xml:space="preserve">Contributions to IL 529 plan  </t>
  </si>
  <si>
    <t>Click Here to pay via MyTax Illinois</t>
  </si>
  <si>
    <t>Click here to pay via IRS Direct Pay</t>
  </si>
  <si>
    <t>2.75% – 3.5% (Progressive)</t>
  </si>
  <si>
    <t>https://tax.ohio.gov/</t>
  </si>
  <si>
    <t>OH Dept of Taxation</t>
  </si>
  <si>
    <t>Single Filer (Rates)</t>
  </si>
  <si>
    <t>Single Filer (Brackets)</t>
  </si>
  <si>
    <t>Married Filing Jointly (Rates)</t>
  </si>
  <si>
    <t>Married Filing Jointly (Brackets)</t>
  </si>
  <si>
    <t>Standard Deduction (Single)</t>
  </si>
  <si>
    <t>Standard Deduction (Couple)</t>
  </si>
  <si>
    <t>Personal Exemption (Single)</t>
  </si>
  <si>
    <t>Personal Exemption (Couple)</t>
  </si>
  <si>
    <t>Personal Exemption (Dependent)</t>
  </si>
  <si>
    <r>
      <t>Alabama</t>
    </r>
    <r>
      <rPr>
        <sz val="14"/>
        <color rgb="FF111111"/>
        <rFont val="Courier New"/>
        <family val="3"/>
      </rPr>
      <t> (a, b, c)</t>
    </r>
  </si>
  <si>
    <t>&gt;</t>
  </si>
  <si>
    <t>— Alabama</t>
  </si>
  <si>
    <t>none</t>
  </si>
  <si>
    <t>n.a.</t>
  </si>
  <si>
    <r>
      <t>Arizona</t>
    </r>
    <r>
      <rPr>
        <sz val="14"/>
        <color rgb="FF111111"/>
        <rFont val="Courier New"/>
        <family val="3"/>
      </rPr>
      <t> (e, f, u)</t>
    </r>
  </si>
  <si>
    <t>$100 credit</t>
  </si>
  <si>
    <r>
      <t>Arkansas</t>
    </r>
    <r>
      <rPr>
        <sz val="14"/>
        <color rgb="FF111111"/>
        <rFont val="Courier New"/>
        <family val="3"/>
      </rPr>
      <t> (d, g, h, j, kk)</t>
    </r>
  </si>
  <si>
    <t>$29 credit</t>
  </si>
  <si>
    <t>$58 credit</t>
  </si>
  <si>
    <t>— Arkansas</t>
  </si>
  <si>
    <r>
      <t>California</t>
    </r>
    <r>
      <rPr>
        <sz val="14"/>
        <color rgb="FF111111"/>
        <rFont val="Courier New"/>
        <family val="3"/>
      </rPr>
      <t> (a, h, j, k, l, m, n, nn)</t>
    </r>
  </si>
  <si>
    <t>$149 credit</t>
  </si>
  <si>
    <t>$298 credit</t>
  </si>
  <si>
    <t>$461 credit</t>
  </si>
  <si>
    <t>— California</t>
  </si>
  <si>
    <r>
      <t>Colorado</t>
    </r>
    <r>
      <rPr>
        <sz val="14"/>
        <color rgb="FF111111"/>
        <rFont val="Courier New"/>
        <family val="3"/>
      </rPr>
      <t> (a, o)</t>
    </r>
  </si>
  <si>
    <r>
      <t>Connecticut</t>
    </r>
    <r>
      <rPr>
        <sz val="14"/>
        <color rgb="FF111111"/>
        <rFont val="Courier New"/>
        <family val="3"/>
      </rPr>
      <t> (i, p, q, r)</t>
    </r>
  </si>
  <si>
    <t>— Connecticut</t>
  </si>
  <si>
    <r>
      <t>Delaware</t>
    </r>
    <r>
      <rPr>
        <sz val="14"/>
        <color rgb="FF111111"/>
        <rFont val="Courier New"/>
        <family val="3"/>
      </rPr>
      <t> (a, h, m, s)</t>
    </r>
  </si>
  <si>
    <t>$110 credit</t>
  </si>
  <si>
    <t>$220 credit</t>
  </si>
  <si>
    <t>— Delaware</t>
  </si>
  <si>
    <r>
      <t>Hawaii</t>
    </r>
    <r>
      <rPr>
        <sz val="14"/>
        <color rgb="FF111111"/>
        <rFont val="Courier New"/>
        <family val="3"/>
      </rPr>
      <t> (m, t)</t>
    </r>
  </si>
  <si>
    <t>— Hawaii</t>
  </si>
  <si>
    <r>
      <t>Idaho</t>
    </r>
    <r>
      <rPr>
        <sz val="14"/>
        <color rgb="FF111111"/>
        <rFont val="Courier New"/>
        <family val="3"/>
      </rPr>
      <t> (j, m, u)</t>
    </r>
  </si>
  <si>
    <r>
      <t>Illinois</t>
    </r>
    <r>
      <rPr>
        <sz val="14"/>
        <color rgb="FF111111"/>
        <rFont val="Courier New"/>
        <family val="3"/>
      </rPr>
      <t> (d, m, v)</t>
    </r>
  </si>
  <si>
    <r>
      <t>Indiana</t>
    </r>
    <r>
      <rPr>
        <sz val="14"/>
        <color rgb="FF111111"/>
        <rFont val="Courier New"/>
        <family val="3"/>
      </rPr>
      <t> (a, m, w)</t>
    </r>
  </si>
  <si>
    <r>
      <t>Iowa</t>
    </r>
    <r>
      <rPr>
        <sz val="14"/>
        <color rgb="FF111111"/>
        <rFont val="Courier New"/>
        <family val="3"/>
      </rPr>
      <t> (a, h)</t>
    </r>
  </si>
  <si>
    <t>$40 credit</t>
  </si>
  <si>
    <t>$80 credit</t>
  </si>
  <si>
    <r>
      <t>Kansas</t>
    </r>
    <r>
      <rPr>
        <sz val="14"/>
        <color rgb="FF111111"/>
        <rFont val="Courier New"/>
        <family val="3"/>
      </rPr>
      <t> (a, m)</t>
    </r>
  </si>
  <si>
    <t>— Kansas</t>
  </si>
  <si>
    <r>
      <t>Kentucky</t>
    </r>
    <r>
      <rPr>
        <sz val="14"/>
        <color rgb="FF111111"/>
        <rFont val="Courier New"/>
        <family val="3"/>
      </rPr>
      <t> (a, d)</t>
    </r>
  </si>
  <si>
    <r>
      <t>Louisiana</t>
    </r>
    <r>
      <rPr>
        <sz val="14"/>
        <color rgb="FF111111"/>
        <rFont val="Courier New"/>
        <family val="3"/>
      </rPr>
      <t> (x)</t>
    </r>
  </si>
  <si>
    <r>
      <t>Maine</t>
    </r>
    <r>
      <rPr>
        <sz val="14"/>
        <color rgb="FF111111"/>
        <rFont val="Courier New"/>
        <family val="3"/>
      </rPr>
      <t> (u, y, bb)</t>
    </r>
  </si>
  <si>
    <t>$300 credit</t>
  </si>
  <si>
    <t>— Maine</t>
  </si>
  <si>
    <r>
      <t>Maryland</t>
    </r>
    <r>
      <rPr>
        <sz val="14"/>
        <color rgb="FF111111"/>
        <rFont val="Courier New"/>
        <family val="3"/>
      </rPr>
      <t> (a, m, n, z, aa)</t>
    </r>
  </si>
  <si>
    <t>— Maryland</t>
  </si>
  <si>
    <r>
      <t>Massachusetts </t>
    </r>
    <r>
      <rPr>
        <sz val="14"/>
        <color rgb="FF111111"/>
        <rFont val="Courier New"/>
        <family val="3"/>
      </rPr>
      <t>(bb, rr)</t>
    </r>
  </si>
  <si>
    <t>— Massachusetts</t>
  </si>
  <si>
    <r>
      <t>Michigan</t>
    </r>
    <r>
      <rPr>
        <sz val="14"/>
        <color rgb="FF111111"/>
        <rFont val="Courier New"/>
        <family val="3"/>
      </rPr>
      <t> (a, d)</t>
    </r>
  </si>
  <si>
    <r>
      <t>Minnesota</t>
    </r>
    <r>
      <rPr>
        <sz val="14"/>
        <color rgb="FF111111"/>
        <rFont val="Courier New"/>
        <family val="3"/>
      </rPr>
      <t> (d, bb, cc, oo)</t>
    </r>
  </si>
  <si>
    <t>— Minnesota</t>
  </si>
  <si>
    <r>
      <t>Missouri </t>
    </r>
    <r>
      <rPr>
        <sz val="14"/>
        <color rgb="FF111111"/>
        <rFont val="Courier New"/>
        <family val="3"/>
      </rPr>
      <t>(a, b, m, u, bb)</t>
    </r>
  </si>
  <si>
    <t>n.a</t>
  </si>
  <si>
    <t>— Missouri</t>
  </si>
  <si>
    <r>
      <t>Montana</t>
    </r>
    <r>
      <rPr>
        <sz val="14"/>
        <color rgb="FF111111"/>
        <rFont val="Courier New"/>
        <family val="3"/>
      </rPr>
      <t> (o, u, bb)</t>
    </r>
  </si>
  <si>
    <t>— Montana</t>
  </si>
  <si>
    <r>
      <t>Nebraska</t>
    </r>
    <r>
      <rPr>
        <sz val="14"/>
        <color rgb="FF111111"/>
        <rFont val="Courier New"/>
        <family val="3"/>
      </rPr>
      <t> (d, h, m, bb)</t>
    </r>
  </si>
  <si>
    <t>$171 credit</t>
  </si>
  <si>
    <t>$342 credit</t>
  </si>
  <si>
    <t>— Nebraska</t>
  </si>
  <si>
    <r>
      <t>New Jersey</t>
    </r>
    <r>
      <rPr>
        <sz val="14"/>
        <color rgb="FF111111"/>
        <rFont val="Courier New"/>
        <family val="3"/>
      </rPr>
      <t> (a)</t>
    </r>
  </si>
  <si>
    <t>— New Jersey</t>
  </si>
  <si>
    <r>
      <t>New Mexico</t>
    </r>
    <r>
      <rPr>
        <sz val="14"/>
        <color rgb="FF111111"/>
        <rFont val="Courier New"/>
        <family val="3"/>
      </rPr>
      <t> (m, o, u, jj)</t>
    </r>
  </si>
  <si>
    <t>— New Mexico</t>
  </si>
  <si>
    <r>
      <t>New York</t>
    </r>
    <r>
      <rPr>
        <sz val="14"/>
        <color rgb="FF111111"/>
        <rFont val="Courier New"/>
        <family val="3"/>
      </rPr>
      <t> (a, i)</t>
    </r>
  </si>
  <si>
    <t>— New York</t>
  </si>
  <si>
    <r>
      <t>North Dakota </t>
    </r>
    <r>
      <rPr>
        <sz val="14"/>
        <color rgb="FF111111"/>
        <rFont val="Courier New"/>
        <family val="3"/>
      </rPr>
      <t>(j, o, u)</t>
    </r>
  </si>
  <si>
    <t>— North Dakota</t>
  </si>
  <si>
    <r>
      <t>Ohio</t>
    </r>
    <r>
      <rPr>
        <sz val="14"/>
        <color rgb="FF111111"/>
        <rFont val="Courier New"/>
        <family val="3"/>
      </rPr>
      <t> (a, j, dd, pp)</t>
    </r>
  </si>
  <si>
    <t>— Ohio</t>
  </si>
  <si>
    <r>
      <t>Oklahoma</t>
    </r>
    <r>
      <rPr>
        <sz val="14"/>
        <color rgb="FF111111"/>
        <rFont val="Courier New"/>
        <family val="3"/>
      </rPr>
      <t> (m)</t>
    </r>
  </si>
  <si>
    <t>— Oklahoma</t>
  </si>
  <si>
    <r>
      <t>Oregon</t>
    </r>
    <r>
      <rPr>
        <sz val="14"/>
        <color rgb="FF111111"/>
        <rFont val="Courier New"/>
        <family val="3"/>
      </rPr>
      <t> (a, b, d, h, m, bb, ee, nn)</t>
    </r>
  </si>
  <si>
    <t>$250 credit</t>
  </si>
  <si>
    <t>$500 credit</t>
  </si>
  <si>
    <t>— Oregon</t>
  </si>
  <si>
    <r>
      <t>Pennsylvania</t>
    </r>
    <r>
      <rPr>
        <sz val="14"/>
        <color rgb="FF111111"/>
        <rFont val="Courier New"/>
        <family val="3"/>
      </rPr>
      <t> (a)</t>
    </r>
  </si>
  <si>
    <r>
      <t>Rhode Island</t>
    </r>
    <r>
      <rPr>
        <sz val="14"/>
        <color rgb="FF111111"/>
        <rFont val="Courier New"/>
        <family val="3"/>
      </rPr>
      <t> (d, bb, ff)</t>
    </r>
  </si>
  <si>
    <t>— Rhode Island</t>
  </si>
  <si>
    <r>
      <t>South Carolina</t>
    </r>
    <r>
      <rPr>
        <sz val="14"/>
        <color rgb="FF111111"/>
        <rFont val="Courier New"/>
        <family val="3"/>
      </rPr>
      <t> (d, o, u, bb, ll, qq)</t>
    </r>
  </si>
  <si>
    <t>— South Carolina</t>
  </si>
  <si>
    <r>
      <t>Utah</t>
    </r>
    <r>
      <rPr>
        <sz val="14"/>
        <color rgb="FF111111"/>
        <rFont val="Courier New"/>
        <family val="3"/>
      </rPr>
      <t> (d, h, gg, ll)</t>
    </r>
  </si>
  <si>
    <t>$900 credit</t>
  </si>
  <si>
    <t>$1,800 credit</t>
  </si>
  <si>
    <r>
      <t>Vermont</t>
    </r>
    <r>
      <rPr>
        <sz val="14"/>
        <color rgb="FF111111"/>
        <rFont val="Courier New"/>
        <family val="3"/>
      </rPr>
      <t> (j, n, hh, mm)</t>
    </r>
  </si>
  <si>
    <t>— Vermont</t>
  </si>
  <si>
    <r>
      <t>Virginia</t>
    </r>
    <r>
      <rPr>
        <sz val="14"/>
        <color rgb="FF111111"/>
        <rFont val="Courier New"/>
        <family val="3"/>
      </rPr>
      <t> (m)</t>
    </r>
  </si>
  <si>
    <t>— Virginia</t>
  </si>
  <si>
    <r>
      <t>Washington</t>
    </r>
    <r>
      <rPr>
        <sz val="14"/>
        <color rgb="FF111111"/>
        <rFont val="Courier New"/>
        <family val="3"/>
      </rPr>
      <t> (n, ss)</t>
    </r>
  </si>
  <si>
    <t>7.0% on capital gains income only</t>
  </si>
  <si>
    <r>
      <t>West Virginia</t>
    </r>
    <r>
      <rPr>
        <sz val="14"/>
        <color rgb="FF111111"/>
        <rFont val="Courier New"/>
        <family val="3"/>
      </rPr>
      <t> (a, m)</t>
    </r>
  </si>
  <si>
    <t>— West Virginia</t>
  </si>
  <si>
    <r>
      <t>Wisconsin</t>
    </r>
    <r>
      <rPr>
        <sz val="14"/>
        <color rgb="FF111111"/>
        <rFont val="Courier New"/>
        <family val="3"/>
      </rPr>
      <t> (d, m, bb, ii)</t>
    </r>
  </si>
  <si>
    <t>— Wisconsin</t>
  </si>
  <si>
    <r>
      <t>Washington DC </t>
    </r>
    <r>
      <rPr>
        <sz val="14"/>
        <color rgb="FF111111"/>
        <rFont val="Courier New"/>
        <family val="3"/>
      </rPr>
      <t>(u)</t>
    </r>
  </si>
  <si>
    <t>— Washington DC</t>
  </si>
  <si>
    <t>https://taxfoundation.org/data/all/state/state-income-tax-rates/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</si>
</sst>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6" formatCode="&quot;$&quot;#,##0_);[Red]\(&quot;$&quot;#,##0\)"/>
    <numFmt numFmtId="8" formatCode="&quot;$&quot;#,##0.00_);[Red]\(&quot;$&quot;#,##0.00\)"/>
    <numFmt numFmtId="44" formatCode="_(&quot;$&quot;* #,##0.00_);_(&quot;$&quot;* \(#,##0.00\);_(&quot;$&quot;* &quot;-&quot;??_);_(@_)"/>
    <numFmt numFmtId="164" formatCode="&quot;$&quot;#,##0.00"/>
    <numFmt numFmtId="165" formatCode="&quot;$&quot;#,##0"/>
    <numFmt numFmtId="166" formatCode="0.0%"/>
    <numFmt numFmtId="167" formatCode="&quot;$&quot;#,##0.0_);[Red]\(&quot;$&quot;#,##0.0\)"/>
    <numFmt numFmtId="168" formatCode="&quot;$&quot;#,##0.00;[Red]&quot;$&quot;#,##0.00"/>
    <numFmt numFmtId="169" formatCode="&quot;$&quot;#,##0.0"/>
    <numFmt numFmtId="170" formatCode="&quot;$&quot;#,##0.0000_);[Red]\(&quot;$&quot;#,##0.0000\)"/>
    <numFmt numFmtId="171" formatCode="&quot;$&quot;#,##0.000_);[Red]\(&quot;$&quot;#,##0.000\)"/>
  </numFmts>
  <fonts count="3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24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theme="1"/>
      <name val="Arial"/>
      <family val="2"/>
    </font>
    <font>
      <b/>
      <sz val="14"/>
      <color theme="1"/>
      <name val="Calibri"/>
      <family val="2"/>
      <scheme val="minor"/>
    </font>
    <font>
      <b/>
      <sz val="11"/>
      <color rgb="FF3F3F76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color theme="1"/>
      <name val="Arial"/>
      <family val="2"/>
    </font>
    <font>
      <sz val="10"/>
      <color theme="1"/>
      <name val="Arial"/>
      <family val="2"/>
    </font>
    <font>
      <b/>
      <sz val="12"/>
      <color rgb="FFFF0000"/>
      <name val="Arial"/>
      <family val="2"/>
    </font>
    <font>
      <b/>
      <sz val="12"/>
      <color theme="1"/>
      <name val="Arial"/>
      <family val="2"/>
    </font>
    <font>
      <u/>
      <sz val="11"/>
      <color theme="10"/>
      <name val="Calibri"/>
      <family val="2"/>
      <scheme val="minor"/>
    </font>
    <font>
      <u/>
      <sz val="11"/>
      <color theme="0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1"/>
      <color theme="3"/>
      <name val="Calibri"/>
      <family val="2"/>
      <scheme val="minor"/>
    </font>
    <font>
      <b/>
      <sz val="11"/>
      <color rgb="FFFF0000"/>
      <name val="Arial"/>
      <family val="2"/>
    </font>
    <font>
      <i/>
      <sz val="11"/>
      <color rgb="FFFF0000"/>
      <name val="Calibri"/>
      <family val="2"/>
      <scheme val="minor"/>
    </font>
    <font>
      <sz val="11"/>
      <name val="Arial"/>
      <family val="2"/>
    </font>
    <font>
      <sz val="11"/>
      <color theme="0"/>
      <name val="Arial"/>
      <family val="2"/>
    </font>
    <font>
      <sz val="11"/>
      <color rgb="FFFF0000"/>
      <name val="Arial"/>
      <family val="2"/>
    </font>
    <font>
      <b/>
      <sz val="11"/>
      <color rgb="FF0070C0"/>
      <name val="Calibri"/>
      <family val="2"/>
      <scheme val="minor"/>
    </font>
    <font>
      <b/>
      <sz val="24"/>
      <color rgb="FFFF0000"/>
      <name val="Calibri"/>
      <family val="2"/>
      <scheme val="minor"/>
    </font>
    <font>
      <sz val="24"/>
      <color rgb="FFFF0000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0"/>
      <name val="Calibri"/>
      <family val="2"/>
      <scheme val="minor"/>
    </font>
    <font>
      <b/>
      <sz val="14"/>
      <color rgb="FF111111"/>
      <name val="Arial"/>
      <family val="2"/>
    </font>
    <font>
      <sz val="14"/>
      <color rgb="FF111111"/>
      <name val="Courier New"/>
      <family val="3"/>
    </font>
    <font>
      <b/>
      <sz val="14"/>
      <color rgb="FF111111"/>
      <name val="Courier New"/>
      <family val="3"/>
    </font>
  </fonts>
  <fills count="16">
    <fill>
      <patternFill patternType="none"/>
    </fill>
    <fill>
      <patternFill patternType="gray125"/>
    </fill>
    <fill>
      <patternFill patternType="solid">
        <fgColor rgb="FFFFCC99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9F9F9"/>
        <bgColor indexed="64"/>
      </patternFill>
    </fill>
    <fill>
      <patternFill patternType="solid">
        <fgColor rgb="FFEAEAEA"/>
        <bgColor indexed="64"/>
      </patternFill>
    </fill>
  </fills>
  <borders count="30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thin">
        <color rgb="FF7F7F7F"/>
      </right>
      <top style="medium">
        <color auto="1"/>
      </top>
      <bottom style="thin">
        <color auto="1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rgb="FF7F7F7F"/>
      </right>
      <top/>
      <bottom style="thin">
        <color indexed="64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</borders>
  <cellStyleXfs count="4">
    <xf numFmtId="0" fontId="0" fillId="0" borderId="0"/>
    <xf numFmtId="44" fontId="1" fillId="0" borderId="0" applyFont="0" applyFill="0" applyBorder="0" applyAlignment="0" applyProtection="0"/>
    <xf numFmtId="0" fontId="2" fillId="2" borderId="1" applyNumberFormat="0" applyAlignment="0" applyProtection="0"/>
    <xf numFmtId="0" fontId="18" fillId="0" borderId="0" applyNumberFormat="0" applyFill="0" applyBorder="0" applyAlignment="0" applyProtection="0"/>
  </cellStyleXfs>
  <cellXfs count="284">
    <xf numFmtId="0" fontId="0" fillId="0" borderId="0" xfId="0"/>
    <xf numFmtId="0" fontId="0" fillId="3" borderId="0" xfId="0" applyFill="1"/>
    <xf numFmtId="0" fontId="6" fillId="3" borderId="0" xfId="0" applyFont="1" applyFill="1"/>
    <xf numFmtId="0" fontId="4" fillId="3" borderId="0" xfId="0" applyFont="1" applyFill="1"/>
    <xf numFmtId="0" fontId="0" fillId="3" borderId="2" xfId="0" applyFill="1" applyBorder="1"/>
    <xf numFmtId="0" fontId="4" fillId="0" borderId="0" xfId="0" applyFont="1"/>
    <xf numFmtId="9" fontId="6" fillId="0" borderId="0" xfId="0" applyNumberFormat="1" applyFont="1"/>
    <xf numFmtId="0" fontId="7" fillId="5" borderId="5" xfId="0" applyFont="1" applyFill="1" applyBorder="1" applyAlignment="1" applyProtection="1">
      <alignment horizontal="center"/>
      <protection locked="0"/>
    </xf>
    <xf numFmtId="0" fontId="0" fillId="0" borderId="4" xfId="0" applyBorder="1" applyAlignment="1" applyProtection="1">
      <alignment horizontal="center"/>
      <protection locked="0"/>
    </xf>
    <xf numFmtId="0" fontId="0" fillId="0" borderId="6" xfId="0" applyBorder="1" applyAlignment="1" applyProtection="1">
      <alignment horizontal="center"/>
      <protection locked="0"/>
    </xf>
    <xf numFmtId="6" fontId="0" fillId="3" borderId="0" xfId="0" applyNumberFormat="1" applyFill="1"/>
    <xf numFmtId="0" fontId="9" fillId="0" borderId="0" xfId="0" applyFont="1"/>
    <xf numFmtId="0" fontId="9" fillId="3" borderId="0" xfId="0" applyFont="1" applyFill="1"/>
    <xf numFmtId="0" fontId="5" fillId="3" borderId="10" xfId="0" applyFont="1" applyFill="1" applyBorder="1" applyAlignment="1">
      <alignment horizontal="center" vertical="center"/>
    </xf>
    <xf numFmtId="1" fontId="10" fillId="3" borderId="10" xfId="0" applyNumberFormat="1" applyFont="1" applyFill="1" applyBorder="1" applyAlignment="1" applyProtection="1">
      <alignment horizontal="center" vertical="center" wrapText="1"/>
      <protection locked="0"/>
    </xf>
    <xf numFmtId="14" fontId="0" fillId="3" borderId="0" xfId="0" applyNumberFormat="1" applyFill="1"/>
    <xf numFmtId="14" fontId="6" fillId="3" borderId="0" xfId="0" applyNumberFormat="1" applyFont="1" applyFill="1"/>
    <xf numFmtId="0" fontId="11" fillId="0" borderId="15" xfId="0" applyFont="1" applyBorder="1" applyAlignment="1">
      <alignment horizontal="center" wrapText="1"/>
    </xf>
    <xf numFmtId="0" fontId="11" fillId="0" borderId="0" xfId="0" applyFont="1" applyAlignment="1">
      <alignment horizontal="center" wrapText="1"/>
    </xf>
    <xf numFmtId="0" fontId="11" fillId="7" borderId="8" xfId="0" applyFont="1" applyFill="1" applyBorder="1" applyAlignment="1">
      <alignment horizontal="center" wrapText="1"/>
    </xf>
    <xf numFmtId="0" fontId="11" fillId="7" borderId="9" xfId="0" applyFont="1" applyFill="1" applyBorder="1" applyAlignment="1">
      <alignment horizontal="center" wrapText="1"/>
    </xf>
    <xf numFmtId="6" fontId="4" fillId="0" borderId="0" xfId="0" applyNumberFormat="1" applyFont="1"/>
    <xf numFmtId="0" fontId="5" fillId="3" borderId="7" xfId="0" applyFont="1" applyFill="1" applyBorder="1" applyAlignment="1">
      <alignment horizontal="center" vertical="center"/>
    </xf>
    <xf numFmtId="14" fontId="10" fillId="3" borderId="2" xfId="0" applyNumberFormat="1" applyFont="1" applyFill="1" applyBorder="1" applyAlignment="1" applyProtection="1">
      <alignment horizontal="left" vertical="center" wrapText="1" indent="1"/>
      <protection locked="0"/>
    </xf>
    <xf numFmtId="1" fontId="10" fillId="3" borderId="2" xfId="0" applyNumberFormat="1" applyFont="1" applyFill="1" applyBorder="1" applyAlignment="1" applyProtection="1">
      <alignment horizontal="center" vertical="center" wrapText="1"/>
      <protection locked="0"/>
    </xf>
    <xf numFmtId="0" fontId="5" fillId="0" borderId="0" xfId="0" applyFont="1"/>
    <xf numFmtId="3" fontId="8" fillId="5" borderId="1" xfId="2" applyNumberFormat="1" applyFont="1" applyFill="1" applyAlignment="1" applyProtection="1">
      <alignment horizontal="center" vertical="center"/>
      <protection locked="0"/>
    </xf>
    <xf numFmtId="3" fontId="12" fillId="8" borderId="1" xfId="2" applyNumberFormat="1" applyFont="1" applyFill="1" applyAlignment="1" applyProtection="1">
      <alignment horizontal="center"/>
      <protection locked="0"/>
    </xf>
    <xf numFmtId="0" fontId="0" fillId="3" borderId="0" xfId="0" applyFill="1" applyAlignment="1">
      <alignment horizontal="center"/>
    </xf>
    <xf numFmtId="8" fontId="0" fillId="3" borderId="0" xfId="0" applyNumberFormat="1" applyFill="1"/>
    <xf numFmtId="0" fontId="13" fillId="7" borderId="18" xfId="0" applyFont="1" applyFill="1" applyBorder="1" applyAlignment="1">
      <alignment horizontal="right"/>
    </xf>
    <xf numFmtId="0" fontId="13" fillId="7" borderId="18" xfId="0" applyFont="1" applyFill="1" applyBorder="1" applyAlignment="1">
      <alignment horizontal="center"/>
    </xf>
    <xf numFmtId="6" fontId="4" fillId="0" borderId="0" xfId="0" applyNumberFormat="1" applyFont="1" applyProtection="1">
      <protection locked="0"/>
    </xf>
    <xf numFmtId="0" fontId="14" fillId="4" borderId="7" xfId="0" applyFont="1" applyFill="1" applyBorder="1" applyAlignment="1">
      <alignment horizontal="left" vertical="center" wrapText="1" indent="1"/>
    </xf>
    <xf numFmtId="0" fontId="14" fillId="4" borderId="9" xfId="0" applyFont="1" applyFill="1" applyBorder="1" applyAlignment="1">
      <alignment horizontal="left" vertical="center" wrapText="1" indent="1"/>
    </xf>
    <xf numFmtId="0" fontId="14" fillId="4" borderId="2" xfId="0" applyFont="1" applyFill="1" applyBorder="1" applyAlignment="1">
      <alignment horizontal="left" vertical="center" wrapText="1" indent="1"/>
    </xf>
    <xf numFmtId="0" fontId="10" fillId="0" borderId="2" xfId="0" applyFont="1" applyBorder="1" applyAlignment="1">
      <alignment horizontal="left" vertical="center" wrapText="1" indent="1"/>
    </xf>
    <xf numFmtId="0" fontId="0" fillId="0" borderId="16" xfId="0" applyBorder="1"/>
    <xf numFmtId="0" fontId="0" fillId="3" borderId="16" xfId="0" applyFill="1" applyBorder="1"/>
    <xf numFmtId="0" fontId="10" fillId="3" borderId="7" xfId="0" applyFont="1" applyFill="1" applyBorder="1" applyAlignment="1">
      <alignment horizontal="left" vertical="center" wrapText="1" indent="1"/>
    </xf>
    <xf numFmtId="8" fontId="10" fillId="3" borderId="2" xfId="0" applyNumberFormat="1" applyFont="1" applyFill="1" applyBorder="1" applyAlignment="1" applyProtection="1">
      <alignment horizontal="left" vertical="center" wrapText="1" indent="1"/>
      <protection locked="0"/>
    </xf>
    <xf numFmtId="164" fontId="10" fillId="3" borderId="2" xfId="0" applyNumberFormat="1" applyFont="1" applyFill="1" applyBorder="1" applyAlignment="1" applyProtection="1">
      <alignment horizontal="left" vertical="center" wrapText="1" indent="1"/>
      <protection locked="0"/>
    </xf>
    <xf numFmtId="6" fontId="10" fillId="0" borderId="2" xfId="0" applyNumberFormat="1" applyFont="1" applyBorder="1" applyAlignment="1">
      <alignment horizontal="left" vertical="center" wrapText="1" indent="1"/>
    </xf>
    <xf numFmtId="0" fontId="15" fillId="0" borderId="19" xfId="0" applyFont="1" applyBorder="1" applyAlignment="1">
      <alignment wrapText="1"/>
    </xf>
    <xf numFmtId="0" fontId="15" fillId="0" borderId="19" xfId="0" applyFont="1" applyBorder="1" applyAlignment="1">
      <alignment vertical="center"/>
    </xf>
    <xf numFmtId="0" fontId="5" fillId="3" borderId="0" xfId="0" applyFont="1" applyFill="1"/>
    <xf numFmtId="0" fontId="5" fillId="9" borderId="18" xfId="0" applyFont="1" applyFill="1" applyBorder="1"/>
    <xf numFmtId="0" fontId="0" fillId="3" borderId="18" xfId="0" applyFill="1" applyBorder="1"/>
    <xf numFmtId="165" fontId="0" fillId="0" borderId="18" xfId="0" applyNumberFormat="1" applyBorder="1"/>
    <xf numFmtId="0" fontId="0" fillId="9" borderId="18" xfId="0" applyFill="1" applyBorder="1"/>
    <xf numFmtId="6" fontId="15" fillId="0" borderId="19" xfId="0" applyNumberFormat="1" applyFont="1" applyBorder="1" applyAlignment="1">
      <alignment horizontal="right" wrapText="1"/>
    </xf>
    <xf numFmtId="9" fontId="0" fillId="0" borderId="18" xfId="0" applyNumberFormat="1" applyBorder="1"/>
    <xf numFmtId="165" fontId="0" fillId="0" borderId="18" xfId="0" applyNumberFormat="1" applyBorder="1" applyAlignment="1">
      <alignment horizontal="right"/>
    </xf>
    <xf numFmtId="0" fontId="16" fillId="3" borderId="0" xfId="0" applyFont="1" applyFill="1"/>
    <xf numFmtId="0" fontId="17" fillId="3" borderId="0" xfId="0" applyFont="1" applyFill="1"/>
    <xf numFmtId="166" fontId="0" fillId="0" borderId="18" xfId="1" applyNumberFormat="1" applyFont="1" applyBorder="1"/>
    <xf numFmtId="0" fontId="19" fillId="3" borderId="0" xfId="3" applyFont="1" applyFill="1"/>
    <xf numFmtId="167" fontId="0" fillId="3" borderId="0" xfId="0" applyNumberFormat="1" applyFill="1"/>
    <xf numFmtId="8" fontId="17" fillId="3" borderId="0" xfId="0" applyNumberFormat="1" applyFont="1" applyFill="1"/>
    <xf numFmtId="4" fontId="6" fillId="0" borderId="9" xfId="0" applyNumberFormat="1" applyFont="1" applyBorder="1" applyAlignment="1">
      <alignment horizontal="left" vertical="center" wrapText="1" indent="1"/>
    </xf>
    <xf numFmtId="0" fontId="18" fillId="0" borderId="0" xfId="3" applyFill="1" applyBorder="1"/>
    <xf numFmtId="10" fontId="5" fillId="3" borderId="0" xfId="0" applyNumberFormat="1" applyFont="1" applyFill="1"/>
    <xf numFmtId="164" fontId="0" fillId="3" borderId="0" xfId="0" applyNumberFormat="1" applyFill="1"/>
    <xf numFmtId="8" fontId="10" fillId="3" borderId="20" xfId="0" applyNumberFormat="1" applyFont="1" applyFill="1" applyBorder="1" applyAlignment="1" applyProtection="1">
      <alignment horizontal="left" vertical="center" wrapText="1" indent="1"/>
      <protection locked="0"/>
    </xf>
    <xf numFmtId="8" fontId="4" fillId="0" borderId="0" xfId="0" applyNumberFormat="1" applyFont="1"/>
    <xf numFmtId="164" fontId="4" fillId="3" borderId="0" xfId="0" applyNumberFormat="1" applyFont="1" applyFill="1"/>
    <xf numFmtId="0" fontId="18" fillId="0" borderId="0" xfId="3"/>
    <xf numFmtId="8" fontId="0" fillId="3" borderId="0" xfId="0" applyNumberFormat="1" applyFill="1" applyAlignment="1">
      <alignment wrapText="1"/>
    </xf>
    <xf numFmtId="0" fontId="0" fillId="0" borderId="0" xfId="0" applyAlignment="1">
      <alignment wrapText="1"/>
    </xf>
    <xf numFmtId="164" fontId="4" fillId="0" borderId="0" xfId="0" applyNumberFormat="1" applyFont="1"/>
    <xf numFmtId="8" fontId="5" fillId="3" borderId="0" xfId="0" applyNumberFormat="1" applyFont="1" applyFill="1"/>
    <xf numFmtId="0" fontId="0" fillId="3" borderId="0" xfId="0" applyFill="1" applyAlignment="1">
      <alignment wrapText="1"/>
    </xf>
    <xf numFmtId="8" fontId="10" fillId="3" borderId="21" xfId="0" applyNumberFormat="1" applyFont="1" applyFill="1" applyBorder="1" applyAlignment="1" applyProtection="1">
      <alignment horizontal="left" vertical="center" wrapText="1" indent="1"/>
      <protection locked="0"/>
    </xf>
    <xf numFmtId="0" fontId="10" fillId="3" borderId="2" xfId="0" applyFont="1" applyFill="1" applyBorder="1" applyAlignment="1">
      <alignment horizontal="center" vertical="center" wrapText="1"/>
    </xf>
    <xf numFmtId="164" fontId="0" fillId="3" borderId="22" xfId="0" applyNumberFormat="1" applyFill="1" applyBorder="1" applyAlignment="1" applyProtection="1">
      <alignment horizontal="center" vertical="center" wrapText="1"/>
      <protection locked="0"/>
    </xf>
    <xf numFmtId="164" fontId="10" fillId="3" borderId="21" xfId="0" applyNumberFormat="1" applyFont="1" applyFill="1" applyBorder="1" applyAlignment="1">
      <alignment horizontal="left" vertical="center" wrapText="1" indent="1"/>
    </xf>
    <xf numFmtId="165" fontId="0" fillId="3" borderId="2" xfId="0" applyNumberFormat="1" applyFill="1" applyBorder="1"/>
    <xf numFmtId="165" fontId="0" fillId="3" borderId="9" xfId="0" applyNumberFormat="1" applyFill="1" applyBorder="1"/>
    <xf numFmtId="0" fontId="22" fillId="3" borderId="0" xfId="0" applyFont="1" applyFill="1"/>
    <xf numFmtId="6" fontId="10" fillId="0" borderId="20" xfId="0" applyNumberFormat="1" applyFont="1" applyBorder="1" applyAlignment="1">
      <alignment horizontal="left" vertical="center" wrapText="1" indent="1"/>
    </xf>
    <xf numFmtId="165" fontId="4" fillId="3" borderId="0" xfId="0" applyNumberFormat="1" applyFont="1" applyFill="1"/>
    <xf numFmtId="8" fontId="10" fillId="3" borderId="20" xfId="0" applyNumberFormat="1" applyFont="1" applyFill="1" applyBorder="1" applyAlignment="1">
      <alignment horizontal="left" vertical="center" wrapText="1" indent="1"/>
    </xf>
    <xf numFmtId="6" fontId="10" fillId="6" borderId="20" xfId="0" applyNumberFormat="1" applyFont="1" applyFill="1" applyBorder="1" applyAlignment="1">
      <alignment horizontal="left" vertical="center" wrapText="1" indent="1"/>
    </xf>
    <xf numFmtId="10" fontId="0" fillId="3" borderId="2" xfId="0" applyNumberFormat="1" applyFill="1" applyBorder="1" applyAlignment="1">
      <alignment horizontal="center"/>
    </xf>
    <xf numFmtId="166" fontId="0" fillId="3" borderId="2" xfId="0" applyNumberFormat="1" applyFill="1" applyBorder="1" applyAlignment="1">
      <alignment horizontal="center"/>
    </xf>
    <xf numFmtId="6" fontId="10" fillId="6" borderId="0" xfId="0" applyNumberFormat="1" applyFont="1" applyFill="1" applyAlignment="1">
      <alignment horizontal="left" vertical="center" wrapText="1" indent="1"/>
    </xf>
    <xf numFmtId="0" fontId="6" fillId="0" borderId="0" xfId="0" applyFont="1"/>
    <xf numFmtId="0" fontId="0" fillId="0" borderId="2" xfId="0" applyBorder="1"/>
    <xf numFmtId="8" fontId="10" fillId="3" borderId="2" xfId="0" applyNumberFormat="1" applyFont="1" applyFill="1" applyBorder="1" applyAlignment="1">
      <alignment horizontal="left" vertical="center"/>
    </xf>
    <xf numFmtId="0" fontId="3" fillId="3" borderId="0" xfId="0" applyFont="1" applyFill="1"/>
    <xf numFmtId="0" fontId="24" fillId="3" borderId="0" xfId="0" applyFont="1" applyFill="1"/>
    <xf numFmtId="6" fontId="25" fillId="3" borderId="2" xfId="0" applyNumberFormat="1" applyFont="1" applyFill="1" applyBorder="1" applyAlignment="1">
      <alignment horizontal="left" vertical="center" wrapText="1" indent="1"/>
    </xf>
    <xf numFmtId="0" fontId="10" fillId="0" borderId="0" xfId="0" applyFont="1" applyAlignment="1">
      <alignment horizontal="left" vertical="center" wrapText="1" indent="1"/>
    </xf>
    <xf numFmtId="0" fontId="16" fillId="3" borderId="0" xfId="0" applyFont="1" applyFill="1" applyAlignment="1">
      <alignment horizontal="left" vertical="center" wrapText="1"/>
    </xf>
    <xf numFmtId="0" fontId="9" fillId="3" borderId="0" xfId="0" applyFont="1" applyFill="1" applyAlignment="1">
      <alignment horizontal="center"/>
    </xf>
    <xf numFmtId="0" fontId="6" fillId="3" borderId="0" xfId="0" applyFont="1" applyFill="1" applyAlignment="1">
      <alignment horizontal="centerContinuous"/>
    </xf>
    <xf numFmtId="9" fontId="6" fillId="3" borderId="0" xfId="0" applyNumberFormat="1" applyFont="1" applyFill="1"/>
    <xf numFmtId="6" fontId="6" fillId="3" borderId="0" xfId="0" applyNumberFormat="1" applyFont="1" applyFill="1" applyAlignment="1">
      <alignment horizontal="left"/>
    </xf>
    <xf numFmtId="0" fontId="4" fillId="9" borderId="18" xfId="0" applyFont="1" applyFill="1" applyBorder="1"/>
    <xf numFmtId="0" fontId="10" fillId="0" borderId="25" xfId="0" applyFont="1" applyBorder="1" applyAlignment="1">
      <alignment horizontal="left" vertical="center" wrapText="1" indent="1"/>
    </xf>
    <xf numFmtId="0" fontId="4" fillId="0" borderId="18" xfId="0" applyFont="1" applyBorder="1"/>
    <xf numFmtId="0" fontId="9" fillId="0" borderId="2" xfId="0" applyFont="1" applyBorder="1" applyAlignment="1">
      <alignment horizontal="center" vertical="center" wrapText="1"/>
    </xf>
    <xf numFmtId="6" fontId="6" fillId="3" borderId="0" xfId="0" applyNumberFormat="1" applyFont="1" applyFill="1"/>
    <xf numFmtId="6" fontId="25" fillId="6" borderId="2" xfId="0" applyNumberFormat="1" applyFont="1" applyFill="1" applyBorder="1" applyAlignment="1">
      <alignment horizontal="left" vertical="center" wrapText="1" indent="1"/>
    </xf>
    <xf numFmtId="0" fontId="4" fillId="3" borderId="0" xfId="0" applyFont="1" applyFill="1" applyAlignment="1">
      <alignment horizontal="left"/>
    </xf>
    <xf numFmtId="8" fontId="10" fillId="3" borderId="20" xfId="0" applyNumberFormat="1" applyFont="1" applyFill="1" applyBorder="1" applyAlignment="1" applyProtection="1">
      <alignment vertical="center" wrapText="1"/>
      <protection locked="0"/>
    </xf>
    <xf numFmtId="8" fontId="10" fillId="3" borderId="2" xfId="0" applyNumberFormat="1" applyFont="1" applyFill="1" applyBorder="1" applyAlignment="1" applyProtection="1">
      <alignment vertical="center" wrapText="1"/>
      <protection locked="0"/>
    </xf>
    <xf numFmtId="168" fontId="25" fillId="3" borderId="2" xfId="0" applyNumberFormat="1" applyFont="1" applyFill="1" applyBorder="1" applyAlignment="1">
      <alignment horizontal="left" vertical="center" wrapText="1" indent="1"/>
    </xf>
    <xf numFmtId="6" fontId="25" fillId="6" borderId="0" xfId="0" applyNumberFormat="1" applyFont="1" applyFill="1" applyAlignment="1">
      <alignment horizontal="left" vertical="center" wrapText="1" indent="1"/>
    </xf>
    <xf numFmtId="6" fontId="25" fillId="3" borderId="0" xfId="0" applyNumberFormat="1" applyFont="1" applyFill="1" applyAlignment="1">
      <alignment horizontal="left" vertical="center" wrapText="1" indent="1"/>
    </xf>
    <xf numFmtId="8" fontId="6" fillId="0" borderId="0" xfId="0" applyNumberFormat="1" applyFont="1"/>
    <xf numFmtId="0" fontId="10" fillId="3" borderId="2" xfId="0" applyFont="1" applyFill="1" applyBorder="1" applyAlignment="1">
      <alignment vertical="center" wrapText="1"/>
    </xf>
    <xf numFmtId="2" fontId="0" fillId="0" borderId="2" xfId="0" applyNumberFormat="1" applyBorder="1" applyAlignment="1" applyProtection="1">
      <alignment vertical="center" wrapText="1"/>
      <protection locked="0"/>
    </xf>
    <xf numFmtId="6" fontId="10" fillId="0" borderId="0" xfId="0" applyNumberFormat="1" applyFont="1" applyAlignment="1">
      <alignment horizontal="left" vertical="center" wrapText="1" indent="1"/>
    </xf>
    <xf numFmtId="9" fontId="4" fillId="3" borderId="0" xfId="0" applyNumberFormat="1" applyFont="1" applyFill="1"/>
    <xf numFmtId="8" fontId="10" fillId="7" borderId="2" xfId="0" applyNumberFormat="1" applyFont="1" applyFill="1" applyBorder="1" applyAlignment="1" applyProtection="1">
      <alignment horizontal="center" vertical="center" wrapText="1"/>
      <protection locked="0"/>
    </xf>
    <xf numFmtId="6" fontId="10" fillId="3" borderId="2" xfId="0" applyNumberFormat="1" applyFont="1" applyFill="1" applyBorder="1" applyAlignment="1">
      <alignment horizontal="left" vertical="center" wrapText="1" indent="1"/>
    </xf>
    <xf numFmtId="6" fontId="10" fillId="10" borderId="2" xfId="0" applyNumberFormat="1" applyFont="1" applyFill="1" applyBorder="1" applyAlignment="1">
      <alignment horizontal="left" vertical="center" wrapText="1" indent="1"/>
    </xf>
    <xf numFmtId="0" fontId="6" fillId="3" borderId="0" xfId="0" applyFont="1" applyFill="1" applyAlignment="1">
      <alignment horizontal="left"/>
    </xf>
    <xf numFmtId="8" fontId="4" fillId="3" borderId="0" xfId="0" applyNumberFormat="1" applyFont="1" applyFill="1"/>
    <xf numFmtId="6" fontId="26" fillId="3" borderId="2" xfId="0" applyNumberFormat="1" applyFont="1" applyFill="1" applyBorder="1" applyAlignment="1">
      <alignment horizontal="left" vertical="center" wrapText="1" indent="1"/>
    </xf>
    <xf numFmtId="6" fontId="26" fillId="0" borderId="0" xfId="0" applyNumberFormat="1" applyFont="1" applyAlignment="1">
      <alignment horizontal="left" vertical="center" wrapText="1" indent="1"/>
    </xf>
    <xf numFmtId="0" fontId="0" fillId="6" borderId="0" xfId="0" applyFill="1"/>
    <xf numFmtId="0" fontId="0" fillId="0" borderId="0" xfId="0" applyAlignment="1">
      <alignment horizontal="left" vertical="center" wrapText="1" indent="1"/>
    </xf>
    <xf numFmtId="6" fontId="10" fillId="3" borderId="0" xfId="0" applyNumberFormat="1" applyFont="1" applyFill="1" applyAlignment="1">
      <alignment horizontal="left" vertical="center" wrapText="1" indent="1"/>
    </xf>
    <xf numFmtId="6" fontId="10" fillId="10" borderId="0" xfId="0" applyNumberFormat="1" applyFont="1" applyFill="1" applyAlignment="1">
      <alignment horizontal="left" vertical="center" wrapText="1" indent="1"/>
    </xf>
    <xf numFmtId="0" fontId="27" fillId="0" borderId="0" xfId="0" applyFont="1" applyAlignment="1">
      <alignment horizontal="left" vertical="center" wrapText="1" indent="1"/>
    </xf>
    <xf numFmtId="0" fontId="4" fillId="0" borderId="0" xfId="0" applyFont="1" applyAlignment="1">
      <alignment horizontal="left" vertical="center" wrapText="1" indent="1"/>
    </xf>
    <xf numFmtId="6" fontId="27" fillId="3" borderId="0" xfId="0" applyNumberFormat="1" applyFont="1" applyFill="1" applyAlignment="1">
      <alignment horizontal="left" vertical="center" wrapText="1" indent="1"/>
    </xf>
    <xf numFmtId="6" fontId="27" fillId="0" borderId="0" xfId="0" applyNumberFormat="1" applyFont="1" applyAlignment="1">
      <alignment horizontal="left" vertical="center" wrapText="1" indent="1"/>
    </xf>
    <xf numFmtId="8" fontId="6" fillId="0" borderId="9" xfId="0" applyNumberFormat="1" applyFont="1" applyBorder="1" applyAlignment="1">
      <alignment horizontal="left" vertical="center" wrapText="1" indent="1"/>
    </xf>
    <xf numFmtId="6" fontId="4" fillId="3" borderId="0" xfId="0" applyNumberFormat="1" applyFont="1" applyFill="1" applyAlignment="1">
      <alignment horizontal="left"/>
    </xf>
    <xf numFmtId="6" fontId="10" fillId="11" borderId="2" xfId="0" applyNumberFormat="1" applyFont="1" applyFill="1" applyBorder="1" applyAlignment="1">
      <alignment horizontal="left" vertical="center" wrapText="1" indent="1"/>
    </xf>
    <xf numFmtId="8" fontId="6" fillId="0" borderId="8" xfId="0" applyNumberFormat="1" applyFont="1" applyBorder="1" applyAlignment="1">
      <alignment horizontal="left" vertical="center" wrapText="1" indent="1"/>
    </xf>
    <xf numFmtId="169" fontId="6" fillId="0" borderId="9" xfId="0" applyNumberFormat="1" applyFont="1" applyBorder="1" applyAlignment="1">
      <alignment horizontal="left" vertical="center" wrapText="1" indent="1"/>
    </xf>
    <xf numFmtId="170" fontId="6" fillId="0" borderId="0" xfId="0" applyNumberFormat="1" applyFont="1" applyAlignment="1">
      <alignment horizontal="left" vertical="center" wrapText="1" indent="1"/>
    </xf>
    <xf numFmtId="171" fontId="4" fillId="0" borderId="25" xfId="0" applyNumberFormat="1" applyFont="1" applyBorder="1" applyAlignment="1">
      <alignment horizontal="left" vertical="center" wrapText="1" indent="1"/>
    </xf>
    <xf numFmtId="8" fontId="4" fillId="0" borderId="25" xfId="0" applyNumberFormat="1" applyFont="1" applyBorder="1" applyAlignment="1">
      <alignment horizontal="left" vertical="center" wrapText="1" indent="1"/>
    </xf>
    <xf numFmtId="6" fontId="26" fillId="3" borderId="0" xfId="0" applyNumberFormat="1" applyFont="1" applyFill="1" applyAlignment="1">
      <alignment horizontal="left" vertical="center" wrapText="1" indent="1"/>
    </xf>
    <xf numFmtId="0" fontId="26" fillId="0" borderId="0" xfId="0" applyFont="1" applyAlignment="1">
      <alignment horizontal="left" vertical="center" wrapText="1" indent="1"/>
    </xf>
    <xf numFmtId="171" fontId="6" fillId="0" borderId="16" xfId="0" applyNumberFormat="1" applyFont="1" applyBorder="1" applyAlignment="1">
      <alignment horizontal="left" vertical="center" wrapText="1" indent="1"/>
    </xf>
    <xf numFmtId="164" fontId="6" fillId="0" borderId="16" xfId="0" applyNumberFormat="1" applyFont="1" applyBorder="1" applyAlignment="1">
      <alignment horizontal="left" vertical="center" wrapText="1" indent="1"/>
    </xf>
    <xf numFmtId="164" fontId="6" fillId="3" borderId="9" xfId="0" applyNumberFormat="1" applyFont="1" applyFill="1" applyBorder="1" applyAlignment="1" applyProtection="1">
      <alignment horizontal="left" vertical="center" wrapText="1" indent="1"/>
      <protection locked="0"/>
    </xf>
    <xf numFmtId="8" fontId="6" fillId="3" borderId="9" xfId="0" applyNumberFormat="1" applyFont="1" applyFill="1" applyBorder="1" applyAlignment="1">
      <alignment horizontal="left" vertical="center" wrapText="1" indent="1"/>
    </xf>
    <xf numFmtId="0" fontId="26" fillId="3" borderId="0" xfId="0" applyFont="1" applyFill="1" applyAlignment="1">
      <alignment horizontal="center" vertical="center" wrapText="1"/>
    </xf>
    <xf numFmtId="0" fontId="10" fillId="3" borderId="0" xfId="0" applyFont="1" applyFill="1" applyAlignment="1">
      <alignment horizontal="right" vertical="center" wrapText="1" indent="1"/>
    </xf>
    <xf numFmtId="164" fontId="6" fillId="0" borderId="8" xfId="0" applyNumberFormat="1" applyFont="1" applyBorder="1" applyAlignment="1">
      <alignment horizontal="left" vertical="center" wrapText="1" indent="1"/>
    </xf>
    <xf numFmtId="0" fontId="0" fillId="0" borderId="0" xfId="0" applyAlignment="1">
      <alignment vertical="center"/>
    </xf>
    <xf numFmtId="0" fontId="0" fillId="3" borderId="0" xfId="0" applyFill="1" applyAlignment="1">
      <alignment horizontal="right" vertical="center"/>
    </xf>
    <xf numFmtId="6" fontId="14" fillId="3" borderId="2" xfId="0" applyNumberFormat="1" applyFont="1" applyFill="1" applyBorder="1" applyAlignment="1">
      <alignment horizontal="left" vertical="center" wrapText="1" indent="1"/>
    </xf>
    <xf numFmtId="6" fontId="14" fillId="6" borderId="2" xfId="0" applyNumberFormat="1" applyFont="1" applyFill="1" applyBorder="1" applyAlignment="1">
      <alignment horizontal="left" vertical="center" wrapText="1" indent="1"/>
    </xf>
    <xf numFmtId="0" fontId="0" fillId="0" borderId="0" xfId="0" applyAlignment="1">
      <alignment horizontal="right" vertical="center"/>
    </xf>
    <xf numFmtId="6" fontId="10" fillId="3" borderId="2" xfId="0" applyNumberFormat="1" applyFont="1" applyFill="1" applyBorder="1" applyAlignment="1" applyProtection="1">
      <alignment horizontal="left" vertical="center" wrapText="1" indent="1"/>
      <protection locked="0"/>
    </xf>
    <xf numFmtId="0" fontId="16" fillId="0" borderId="0" xfId="0" applyFont="1"/>
    <xf numFmtId="6" fontId="10" fillId="4" borderId="2" xfId="0" applyNumberFormat="1" applyFont="1" applyFill="1" applyBorder="1" applyAlignment="1" applyProtection="1">
      <alignment horizontal="left" vertical="center" wrapText="1" indent="1"/>
      <protection locked="0"/>
    </xf>
    <xf numFmtId="6" fontId="6" fillId="3" borderId="28" xfId="0" applyNumberFormat="1" applyFont="1" applyFill="1" applyBorder="1" applyAlignment="1">
      <alignment horizontal="left" vertical="center" wrapText="1" indent="1"/>
    </xf>
    <xf numFmtId="6" fontId="10" fillId="3" borderId="29" xfId="0" applyNumberFormat="1" applyFont="1" applyFill="1" applyBorder="1" applyAlignment="1">
      <alignment horizontal="left" vertical="center" wrapText="1" indent="1"/>
    </xf>
    <xf numFmtId="6" fontId="10" fillId="6" borderId="29" xfId="0" applyNumberFormat="1" applyFont="1" applyFill="1" applyBorder="1" applyAlignment="1">
      <alignment horizontal="left" vertical="center" wrapText="1" indent="1"/>
    </xf>
    <xf numFmtId="6" fontId="27" fillId="3" borderId="29" xfId="0" applyNumberFormat="1" applyFont="1" applyFill="1" applyBorder="1" applyAlignment="1">
      <alignment horizontal="left" vertical="center" wrapText="1" indent="1"/>
    </xf>
    <xf numFmtId="6" fontId="27" fillId="11" borderId="29" xfId="0" applyNumberFormat="1" applyFont="1" applyFill="1" applyBorder="1" applyAlignment="1">
      <alignment horizontal="left" vertical="center" wrapText="1" indent="1"/>
    </xf>
    <xf numFmtId="166" fontId="5" fillId="6" borderId="2" xfId="0" applyNumberFormat="1" applyFont="1" applyFill="1" applyBorder="1" applyAlignment="1">
      <alignment horizontal="center"/>
    </xf>
    <xf numFmtId="166" fontId="6" fillId="3" borderId="0" xfId="0" applyNumberFormat="1" applyFont="1" applyFill="1"/>
    <xf numFmtId="0" fontId="28" fillId="3" borderId="0" xfId="0" applyFont="1" applyFill="1"/>
    <xf numFmtId="14" fontId="4" fillId="3" borderId="0" xfId="0" applyNumberFormat="1" applyFont="1" applyFill="1"/>
    <xf numFmtId="4" fontId="4" fillId="3" borderId="0" xfId="0" applyNumberFormat="1" applyFont="1" applyFill="1"/>
    <xf numFmtId="164" fontId="0" fillId="3" borderId="0" xfId="0" applyNumberFormat="1" applyFill="1" applyAlignment="1">
      <alignment horizontal="center" wrapText="1"/>
    </xf>
    <xf numFmtId="3" fontId="0" fillId="3" borderId="0" xfId="0" applyNumberFormat="1" applyFill="1"/>
    <xf numFmtId="1" fontId="0" fillId="3" borderId="0" xfId="0" applyNumberFormat="1" applyFill="1"/>
    <xf numFmtId="0" fontId="0" fillId="3" borderId="7" xfId="0" applyFill="1" applyBorder="1" applyAlignment="1">
      <alignment wrapText="1"/>
    </xf>
    <xf numFmtId="10" fontId="0" fillId="3" borderId="2" xfId="0" applyNumberFormat="1" applyFill="1" applyBorder="1" applyAlignment="1">
      <alignment wrapText="1"/>
    </xf>
    <xf numFmtId="164" fontId="6" fillId="3" borderId="9" xfId="0" applyNumberFormat="1" applyFont="1" applyFill="1" applyBorder="1" applyAlignment="1">
      <alignment horizontal="center" wrapText="1"/>
    </xf>
    <xf numFmtId="164" fontId="0" fillId="3" borderId="2" xfId="0" applyNumberFormat="1" applyFill="1" applyBorder="1" applyAlignment="1">
      <alignment wrapText="1"/>
    </xf>
    <xf numFmtId="0" fontId="5" fillId="3" borderId="2" xfId="0" applyFont="1" applyFill="1" applyBorder="1" applyAlignment="1">
      <alignment horizontal="center" vertical="center"/>
    </xf>
    <xf numFmtId="0" fontId="8" fillId="0" borderId="0" xfId="0" applyFont="1" applyAlignment="1">
      <alignment vertical="center"/>
    </xf>
    <xf numFmtId="0" fontId="8" fillId="6" borderId="0" xfId="0" applyFont="1" applyFill="1" applyAlignment="1">
      <alignment horizontal="center"/>
    </xf>
    <xf numFmtId="0" fontId="5" fillId="6" borderId="0" xfId="0" applyFont="1" applyFill="1" applyAlignment="1">
      <alignment horizontal="center"/>
    </xf>
    <xf numFmtId="0" fontId="18" fillId="6" borderId="0" xfId="3" applyFill="1" applyAlignment="1">
      <alignment horizontal="center"/>
    </xf>
    <xf numFmtId="8" fontId="0" fillId="6" borderId="0" xfId="0" applyNumberFormat="1" applyFill="1" applyAlignment="1">
      <alignment horizontal="center"/>
    </xf>
    <xf numFmtId="0" fontId="0" fillId="0" borderId="2" xfId="0" applyBorder="1" applyAlignment="1">
      <alignment vertical="center" wrapText="1"/>
    </xf>
    <xf numFmtId="0" fontId="5" fillId="0" borderId="2" xfId="0" applyFont="1" applyBorder="1" applyAlignment="1">
      <alignment vertical="center" wrapText="1"/>
    </xf>
    <xf numFmtId="0" fontId="18" fillId="0" borderId="2" xfId="3" applyBorder="1" applyAlignment="1">
      <alignment vertical="center" wrapText="1"/>
    </xf>
    <xf numFmtId="0" fontId="5" fillId="6" borderId="2" xfId="0" applyFont="1" applyFill="1" applyBorder="1" applyAlignment="1">
      <alignment vertical="center" wrapText="1"/>
    </xf>
    <xf numFmtId="0" fontId="18" fillId="6" borderId="2" xfId="3" applyFill="1" applyBorder="1" applyAlignment="1">
      <alignment vertical="center" wrapText="1"/>
    </xf>
    <xf numFmtId="9" fontId="5" fillId="0" borderId="2" xfId="0" applyNumberFormat="1" applyFont="1" applyBorder="1" applyAlignment="1">
      <alignment horizontal="left" vertical="center" wrapText="1"/>
    </xf>
    <xf numFmtId="0" fontId="5" fillId="10" borderId="2" xfId="0" applyFont="1" applyFill="1" applyBorder="1" applyAlignment="1">
      <alignment vertical="center" wrapText="1"/>
    </xf>
    <xf numFmtId="0" fontId="18" fillId="10" borderId="2" xfId="3" applyFill="1" applyBorder="1" applyAlignment="1">
      <alignment vertical="center" wrapText="1"/>
    </xf>
    <xf numFmtId="0" fontId="0" fillId="10" borderId="2" xfId="0" applyFill="1" applyBorder="1" applyAlignment="1">
      <alignment vertical="center" wrapText="1"/>
    </xf>
    <xf numFmtId="0" fontId="0" fillId="13" borderId="0" xfId="0" applyFill="1"/>
    <xf numFmtId="0" fontId="34" fillId="13" borderId="19" xfId="0" applyFont="1" applyFill="1" applyBorder="1" applyAlignment="1">
      <alignment horizontal="left" vertical="center" wrapText="1"/>
    </xf>
    <xf numFmtId="0" fontId="36" fillId="13" borderId="19" xfId="0" applyFont="1" applyFill="1" applyBorder="1" applyAlignment="1">
      <alignment horizontal="left" vertical="center" wrapText="1"/>
    </xf>
    <xf numFmtId="10" fontId="35" fillId="13" borderId="19" xfId="0" applyNumberFormat="1" applyFont="1" applyFill="1" applyBorder="1" applyAlignment="1">
      <alignment horizontal="left" vertical="center" wrapText="1"/>
    </xf>
    <xf numFmtId="0" fontId="35" fillId="13" borderId="19" xfId="0" applyFont="1" applyFill="1" applyBorder="1" applyAlignment="1">
      <alignment horizontal="left" vertical="center" wrapText="1"/>
    </xf>
    <xf numFmtId="6" fontId="35" fillId="13" borderId="19" xfId="0" applyNumberFormat="1" applyFont="1" applyFill="1" applyBorder="1" applyAlignment="1">
      <alignment horizontal="left" vertical="center" wrapText="1"/>
    </xf>
    <xf numFmtId="0" fontId="35" fillId="14" borderId="19" xfId="0" applyFont="1" applyFill="1" applyBorder="1" applyAlignment="1">
      <alignment horizontal="left" vertical="center" wrapText="1"/>
    </xf>
    <xf numFmtId="10" fontId="35" fillId="14" borderId="19" xfId="0" applyNumberFormat="1" applyFont="1" applyFill="1" applyBorder="1" applyAlignment="1">
      <alignment horizontal="left" vertical="center" wrapText="1"/>
    </xf>
    <xf numFmtId="6" fontId="35" fillId="14" borderId="19" xfId="0" applyNumberFormat="1" applyFont="1" applyFill="1" applyBorder="1" applyAlignment="1">
      <alignment horizontal="left" vertical="center" wrapText="1"/>
    </xf>
    <xf numFmtId="0" fontId="36" fillId="14" borderId="19" xfId="0" applyFont="1" applyFill="1" applyBorder="1" applyAlignment="1">
      <alignment horizontal="left" vertical="center" wrapText="1"/>
    </xf>
    <xf numFmtId="0" fontId="35" fillId="15" borderId="19" xfId="0" applyFont="1" applyFill="1" applyBorder="1" applyAlignment="1">
      <alignment horizontal="left" vertical="center" wrapText="1"/>
    </xf>
    <xf numFmtId="10" fontId="35" fillId="15" borderId="19" xfId="0" applyNumberFormat="1" applyFont="1" applyFill="1" applyBorder="1" applyAlignment="1">
      <alignment horizontal="left" vertical="center" wrapText="1"/>
    </xf>
    <xf numFmtId="6" fontId="35" fillId="15" borderId="19" xfId="0" applyNumberFormat="1" applyFont="1" applyFill="1" applyBorder="1" applyAlignment="1">
      <alignment horizontal="left" vertical="center" wrapText="1"/>
    </xf>
    <xf numFmtId="0" fontId="10" fillId="3" borderId="7" xfId="0" applyFont="1" applyFill="1" applyBorder="1" applyAlignment="1">
      <alignment horizontal="left" vertical="center" wrapText="1" indent="1"/>
    </xf>
    <xf numFmtId="0" fontId="0" fillId="0" borderId="9" xfId="0" applyBorder="1" applyAlignment="1">
      <alignment horizontal="left" vertical="center" wrapText="1" indent="1"/>
    </xf>
    <xf numFmtId="0" fontId="0" fillId="3" borderId="7" xfId="0" applyFill="1" applyBorder="1" applyAlignment="1">
      <alignment horizontal="center" wrapText="1"/>
    </xf>
    <xf numFmtId="0" fontId="0" fillId="3" borderId="9" xfId="0" applyFill="1" applyBorder="1" applyAlignment="1">
      <alignment horizontal="center" wrapText="1"/>
    </xf>
    <xf numFmtId="0" fontId="4" fillId="0" borderId="0" xfId="0" applyFont="1" applyAlignment="1" applyProtection="1">
      <alignment wrapText="1"/>
      <protection locked="0"/>
    </xf>
    <xf numFmtId="0" fontId="10" fillId="0" borderId="7" xfId="0" applyFont="1" applyBorder="1" applyAlignment="1">
      <alignment horizontal="left" vertical="center" wrapText="1" indent="1"/>
    </xf>
    <xf numFmtId="0" fontId="10" fillId="0" borderId="8" xfId="0" applyFont="1" applyBorder="1" applyAlignment="1">
      <alignment horizontal="left" vertical="center" wrapText="1" indent="1"/>
    </xf>
    <xf numFmtId="0" fontId="0" fillId="0" borderId="8" xfId="0" applyBorder="1" applyAlignment="1">
      <alignment horizontal="left" vertical="center" wrapText="1" indent="1"/>
    </xf>
    <xf numFmtId="0" fontId="10" fillId="3" borderId="26" xfId="0" applyFont="1" applyFill="1" applyBorder="1" applyAlignment="1">
      <alignment horizontal="left" vertical="center" wrapText="1" indent="1"/>
    </xf>
    <xf numFmtId="0" fontId="10" fillId="3" borderId="27" xfId="0" applyFont="1" applyFill="1" applyBorder="1" applyAlignment="1">
      <alignment horizontal="left" vertical="center" wrapText="1" indent="1"/>
    </xf>
    <xf numFmtId="0" fontId="0" fillId="3" borderId="27" xfId="0" applyFill="1" applyBorder="1" applyAlignment="1">
      <alignment horizontal="left" vertical="center" wrapText="1" indent="1"/>
    </xf>
    <xf numFmtId="0" fontId="27" fillId="3" borderId="26" xfId="0" applyFont="1" applyFill="1" applyBorder="1" applyAlignment="1">
      <alignment horizontal="left" vertical="center" wrapText="1" indent="1"/>
    </xf>
    <xf numFmtId="0" fontId="27" fillId="3" borderId="27" xfId="0" applyFont="1" applyFill="1" applyBorder="1" applyAlignment="1">
      <alignment horizontal="left" vertical="center" wrapText="1" indent="1"/>
    </xf>
    <xf numFmtId="0" fontId="4" fillId="3" borderId="27" xfId="0" applyFont="1" applyFill="1" applyBorder="1" applyAlignment="1">
      <alignment horizontal="left" vertical="center" wrapText="1" indent="1"/>
    </xf>
    <xf numFmtId="0" fontId="4" fillId="3" borderId="28" xfId="0" applyFont="1" applyFill="1" applyBorder="1" applyAlignment="1">
      <alignment horizontal="left" vertical="center" wrapText="1" indent="1"/>
    </xf>
    <xf numFmtId="0" fontId="14" fillId="3" borderId="7" xfId="0" applyFont="1" applyFill="1" applyBorder="1" applyAlignment="1">
      <alignment horizontal="center" vertical="center" wrapText="1"/>
    </xf>
    <xf numFmtId="0" fontId="14" fillId="3" borderId="8" xfId="0" applyFont="1" applyFill="1" applyBorder="1" applyAlignment="1">
      <alignment horizontal="center" vertical="center" wrapText="1"/>
    </xf>
    <xf numFmtId="0" fontId="5" fillId="3" borderId="8" xfId="0" applyFont="1" applyFill="1" applyBorder="1" applyAlignment="1">
      <alignment horizontal="center" vertical="center" wrapText="1"/>
    </xf>
    <xf numFmtId="0" fontId="5" fillId="3" borderId="9" xfId="0" applyFont="1" applyFill="1" applyBorder="1" applyAlignment="1">
      <alignment horizontal="center" vertical="center" wrapText="1"/>
    </xf>
    <xf numFmtId="0" fontId="10" fillId="3" borderId="7" xfId="0" applyFont="1" applyFill="1" applyBorder="1" applyAlignment="1">
      <alignment horizontal="left" vertical="center" wrapText="1"/>
    </xf>
    <xf numFmtId="0" fontId="10" fillId="3" borderId="8" xfId="0" applyFont="1" applyFill="1" applyBorder="1" applyAlignment="1">
      <alignment horizontal="left" vertical="center" wrapText="1"/>
    </xf>
    <xf numFmtId="0" fontId="0" fillId="3" borderId="8" xfId="0" applyFill="1" applyBorder="1" applyAlignment="1">
      <alignment horizontal="left" vertical="center" wrapText="1"/>
    </xf>
    <xf numFmtId="0" fontId="0" fillId="3" borderId="9" xfId="0" applyFill="1" applyBorder="1" applyAlignment="1">
      <alignment horizontal="left" vertical="center" wrapText="1"/>
    </xf>
    <xf numFmtId="0" fontId="23" fillId="3" borderId="7" xfId="0" applyFont="1" applyFill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164" fontId="0" fillId="3" borderId="7" xfId="0" applyNumberFormat="1" applyFill="1" applyBorder="1" applyAlignment="1">
      <alignment horizontal="center" wrapText="1"/>
    </xf>
    <xf numFmtId="164" fontId="0" fillId="3" borderId="9" xfId="0" applyNumberFormat="1" applyFill="1" applyBorder="1" applyAlignment="1">
      <alignment horizontal="center" wrapText="1"/>
    </xf>
    <xf numFmtId="0" fontId="10" fillId="3" borderId="7" xfId="0" applyFont="1" applyFill="1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10" fillId="3" borderId="7" xfId="0" applyFont="1" applyFill="1" applyBorder="1" applyAlignment="1" applyProtection="1">
      <alignment vertical="center" wrapText="1"/>
      <protection locked="0"/>
    </xf>
    <xf numFmtId="0" fontId="0" fillId="0" borderId="9" xfId="0" applyBorder="1" applyAlignment="1" applyProtection="1">
      <alignment vertical="center" wrapText="1"/>
      <protection locked="0"/>
    </xf>
    <xf numFmtId="0" fontId="4" fillId="0" borderId="0" xfId="0" applyFont="1"/>
    <xf numFmtId="0" fontId="33" fillId="6" borderId="7" xfId="3" applyFont="1" applyFill="1" applyBorder="1" applyAlignment="1">
      <alignment horizontal="center" wrapText="1"/>
    </xf>
    <xf numFmtId="0" fontId="33" fillId="6" borderId="8" xfId="3" applyFont="1" applyFill="1" applyBorder="1" applyAlignment="1">
      <alignment horizontal="center" wrapText="1"/>
    </xf>
    <xf numFmtId="0" fontId="33" fillId="6" borderId="9" xfId="3" applyFont="1" applyFill="1" applyBorder="1" applyAlignment="1">
      <alignment horizontal="center" wrapText="1"/>
    </xf>
    <xf numFmtId="0" fontId="5" fillId="0" borderId="9" xfId="0" applyFont="1" applyBorder="1" applyAlignment="1">
      <alignment horizontal="center" vertical="center" wrapText="1"/>
    </xf>
    <xf numFmtId="0" fontId="0" fillId="0" borderId="9" xfId="0" applyBorder="1" applyAlignment="1">
      <alignment horizontal="left" vertical="center" wrapText="1"/>
    </xf>
    <xf numFmtId="0" fontId="10" fillId="3" borderId="9" xfId="0" applyFont="1" applyFill="1" applyBorder="1" applyAlignment="1">
      <alignment horizontal="left" vertical="center" wrapText="1" indent="1"/>
    </xf>
    <xf numFmtId="164" fontId="0" fillId="3" borderId="7" xfId="0" applyNumberFormat="1" applyFill="1" applyBorder="1" applyAlignment="1" applyProtection="1">
      <alignment horizontal="center" wrapText="1"/>
      <protection locked="0"/>
    </xf>
    <xf numFmtId="164" fontId="0" fillId="3" borderId="9" xfId="0" applyNumberFormat="1" applyFill="1" applyBorder="1" applyAlignment="1" applyProtection="1">
      <alignment horizontal="center" wrapText="1"/>
      <protection locked="0"/>
    </xf>
    <xf numFmtId="0" fontId="10" fillId="3" borderId="8" xfId="0" applyFont="1" applyFill="1" applyBorder="1" applyAlignment="1">
      <alignment horizontal="center" vertical="center" wrapText="1"/>
    </xf>
    <xf numFmtId="0" fontId="0" fillId="3" borderId="8" xfId="0" applyFill="1" applyBorder="1" applyAlignment="1">
      <alignment horizontal="center" vertical="center" wrapText="1"/>
    </xf>
    <xf numFmtId="0" fontId="0" fillId="3" borderId="9" xfId="0" applyFill="1" applyBorder="1" applyAlignment="1">
      <alignment horizontal="center" vertical="center" wrapText="1"/>
    </xf>
    <xf numFmtId="0" fontId="4" fillId="0" borderId="0" xfId="0" applyFont="1" applyAlignment="1">
      <alignment horizontal="center" wrapText="1"/>
    </xf>
    <xf numFmtId="0" fontId="14" fillId="3" borderId="23" xfId="0" applyFont="1" applyFill="1" applyBorder="1" applyAlignment="1">
      <alignment horizontal="center" vertical="center" wrapText="1"/>
    </xf>
    <xf numFmtId="0" fontId="5" fillId="3" borderId="24" xfId="0" applyFont="1" applyFill="1" applyBorder="1" applyAlignment="1">
      <alignment horizontal="center" vertical="center" wrapText="1"/>
    </xf>
    <xf numFmtId="0" fontId="21" fillId="6" borderId="7" xfId="0" applyFont="1" applyFill="1" applyBorder="1" applyAlignment="1">
      <alignment horizontal="center" wrapText="1"/>
    </xf>
    <xf numFmtId="0" fontId="21" fillId="6" borderId="8" xfId="0" applyFont="1" applyFill="1" applyBorder="1" applyAlignment="1">
      <alignment horizontal="center" wrapText="1"/>
    </xf>
    <xf numFmtId="0" fontId="21" fillId="6" borderId="9" xfId="0" applyFont="1" applyFill="1" applyBorder="1" applyAlignment="1">
      <alignment horizontal="center" wrapText="1"/>
    </xf>
    <xf numFmtId="0" fontId="0" fillId="3" borderId="7" xfId="0" applyFill="1" applyBorder="1" applyAlignment="1">
      <alignment wrapText="1"/>
    </xf>
    <xf numFmtId="0" fontId="0" fillId="0" borderId="8" xfId="0" applyBorder="1" applyAlignment="1">
      <alignment wrapText="1"/>
    </xf>
    <xf numFmtId="0" fontId="0" fillId="0" borderId="9" xfId="0" applyBorder="1" applyAlignment="1">
      <alignment wrapText="1"/>
    </xf>
    <xf numFmtId="0" fontId="0" fillId="3" borderId="9" xfId="0" applyFill="1" applyBorder="1" applyAlignment="1">
      <alignment wrapText="1"/>
    </xf>
    <xf numFmtId="0" fontId="20" fillId="6" borderId="7" xfId="0" applyFont="1" applyFill="1" applyBorder="1" applyAlignment="1">
      <alignment horizontal="center" wrapText="1"/>
    </xf>
    <xf numFmtId="0" fontId="20" fillId="6" borderId="9" xfId="0" applyFont="1" applyFill="1" applyBorder="1" applyAlignment="1">
      <alignment horizontal="center" wrapText="1"/>
    </xf>
    <xf numFmtId="8" fontId="5" fillId="6" borderId="7" xfId="0" applyNumberFormat="1" applyFont="1" applyFill="1" applyBorder="1" applyAlignment="1">
      <alignment horizontal="center" wrapText="1"/>
    </xf>
    <xf numFmtId="8" fontId="5" fillId="6" borderId="9" xfId="0" applyNumberFormat="1" applyFont="1" applyFill="1" applyBorder="1" applyAlignment="1">
      <alignment horizontal="center" wrapText="1"/>
    </xf>
    <xf numFmtId="0" fontId="14" fillId="4" borderId="7" xfId="0" applyFont="1" applyFill="1" applyBorder="1" applyAlignment="1">
      <alignment horizontal="left" vertical="center" wrapText="1" indent="1"/>
    </xf>
    <xf numFmtId="0" fontId="0" fillId="4" borderId="9" xfId="0" applyFill="1" applyBorder="1" applyAlignment="1">
      <alignment horizontal="left" vertical="center" wrapText="1" indent="1"/>
    </xf>
    <xf numFmtId="0" fontId="5" fillId="3" borderId="16" xfId="0" applyFont="1" applyFill="1" applyBorder="1" applyAlignment="1">
      <alignment horizontal="center" vertical="center" wrapText="1"/>
    </xf>
    <xf numFmtId="0" fontId="0" fillId="3" borderId="17" xfId="0" applyFill="1" applyBorder="1" applyAlignment="1">
      <alignment horizontal="center" vertical="center" wrapText="1"/>
    </xf>
    <xf numFmtId="3" fontId="13" fillId="7" borderId="18" xfId="0" applyNumberFormat="1" applyFont="1" applyFill="1" applyBorder="1"/>
    <xf numFmtId="0" fontId="13" fillId="7" borderId="18" xfId="0" applyFont="1" applyFill="1" applyBorder="1"/>
    <xf numFmtId="0" fontId="7" fillId="4" borderId="3" xfId="0" applyFont="1" applyFill="1" applyBorder="1" applyAlignment="1">
      <alignment horizontal="center" wrapText="1"/>
    </xf>
    <xf numFmtId="0" fontId="7" fillId="4" borderId="4" xfId="0" applyFont="1" applyFill="1" applyBorder="1" applyAlignment="1">
      <alignment horizontal="center" wrapText="1"/>
    </xf>
    <xf numFmtId="0" fontId="0" fillId="4" borderId="4" xfId="0" applyFill="1" applyBorder="1" applyAlignment="1">
      <alignment horizontal="center" wrapText="1"/>
    </xf>
    <xf numFmtId="0" fontId="8" fillId="6" borderId="7" xfId="0" applyFont="1" applyFill="1" applyBorder="1" applyAlignment="1">
      <alignment horizontal="center" wrapText="1"/>
    </xf>
    <xf numFmtId="0" fontId="8" fillId="6" borderId="8" xfId="0" applyFont="1" applyFill="1" applyBorder="1" applyAlignment="1">
      <alignment horizontal="center" wrapText="1"/>
    </xf>
    <xf numFmtId="0" fontId="8" fillId="6" borderId="9" xfId="0" applyFont="1" applyFill="1" applyBorder="1" applyAlignment="1">
      <alignment horizontal="center" wrapText="1"/>
    </xf>
    <xf numFmtId="0" fontId="5" fillId="3" borderId="11" xfId="0" applyFont="1" applyFill="1" applyBorder="1" applyAlignment="1" applyProtection="1">
      <alignment horizontal="center" vertical="center" wrapText="1"/>
      <protection locked="0"/>
    </xf>
    <xf numFmtId="0" fontId="0" fillId="0" borderId="12" xfId="0" applyBorder="1" applyAlignment="1" applyProtection="1">
      <alignment vertical="center" wrapText="1"/>
      <protection locked="0"/>
    </xf>
    <xf numFmtId="0" fontId="5" fillId="3" borderId="13" xfId="0" applyFont="1" applyFill="1" applyBorder="1" applyAlignment="1">
      <alignment horizontal="center" vertical="center" wrapText="1"/>
    </xf>
    <xf numFmtId="0" fontId="0" fillId="3" borderId="14" xfId="0" applyFill="1" applyBorder="1" applyAlignment="1">
      <alignment horizontal="center" vertical="center" wrapText="1"/>
    </xf>
    <xf numFmtId="0" fontId="11" fillId="7" borderId="7" xfId="0" applyFont="1" applyFill="1" applyBorder="1" applyAlignment="1">
      <alignment horizontal="center" wrapText="1"/>
    </xf>
    <xf numFmtId="0" fontId="0" fillId="0" borderId="8" xfId="0" applyBorder="1" applyAlignment="1">
      <alignment horizontal="center" wrapText="1"/>
    </xf>
    <xf numFmtId="0" fontId="0" fillId="0" borderId="9" xfId="0" applyBorder="1" applyAlignment="1">
      <alignment horizontal="center" wrapText="1"/>
    </xf>
    <xf numFmtId="164" fontId="0" fillId="4" borderId="7" xfId="0" applyNumberFormat="1" applyFill="1" applyBorder="1" applyAlignment="1" applyProtection="1">
      <alignment horizontal="center" wrapText="1"/>
      <protection locked="0"/>
    </xf>
    <xf numFmtId="164" fontId="0" fillId="4" borderId="9" xfId="0" applyNumberFormat="1" applyFill="1" applyBorder="1" applyAlignment="1" applyProtection="1">
      <alignment horizontal="center" wrapText="1"/>
      <protection locked="0"/>
    </xf>
    <xf numFmtId="0" fontId="18" fillId="12" borderId="7" xfId="3" applyFill="1" applyBorder="1" applyAlignment="1">
      <alignment horizontal="center" wrapText="1"/>
    </xf>
    <xf numFmtId="0" fontId="18" fillId="12" borderId="8" xfId="3" applyFill="1" applyBorder="1" applyAlignment="1">
      <alignment horizontal="center" wrapText="1"/>
    </xf>
    <xf numFmtId="0" fontId="18" fillId="12" borderId="9" xfId="3" applyFill="1" applyBorder="1" applyAlignment="1">
      <alignment horizontal="center" wrapText="1"/>
    </xf>
    <xf numFmtId="0" fontId="29" fillId="4" borderId="7" xfId="0" applyFont="1" applyFill="1" applyBorder="1" applyAlignment="1">
      <alignment horizontal="center" vertical="center" wrapText="1"/>
    </xf>
    <xf numFmtId="0" fontId="30" fillId="4" borderId="8" xfId="0" applyFont="1" applyFill="1" applyBorder="1" applyAlignment="1">
      <alignment horizontal="center" vertical="center" wrapText="1"/>
    </xf>
    <xf numFmtId="0" fontId="30" fillId="4" borderId="9" xfId="0" applyFont="1" applyFill="1" applyBorder="1" applyAlignment="1">
      <alignment horizontal="center" vertical="center" wrapText="1"/>
    </xf>
  </cellXfs>
  <cellStyles count="4">
    <cellStyle name="Currency" xfId="1" builtinId="4"/>
    <cellStyle name="Hyperlink" xfId="3" builtinId="8"/>
    <cellStyle name="Input" xfId="2" builtinId="20"/>
    <cellStyle name="Normal" xfId="0" builtinId="0"/>
  </cellStyles>
  <dxfs count="14"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1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154460</xdr:colOff>
      <xdr:row>69</xdr:row>
      <xdr:rowOff>37585</xdr:rowOff>
    </xdr:from>
    <xdr:to>
      <xdr:col>5</xdr:col>
      <xdr:colOff>1305848</xdr:colOff>
      <xdr:row>76</xdr:row>
      <xdr:rowOff>53770</xdr:rowOff>
    </xdr:to>
    <xdr:sp macro="" textlink="">
      <xdr:nvSpPr>
        <xdr:cNvPr id="2" name="Rectangle: Rounded Corners 1">
          <a:extLst>
            <a:ext uri="{FF2B5EF4-FFF2-40B4-BE49-F238E27FC236}">
              <a16:creationId xmlns:a16="http://schemas.microsoft.com/office/drawing/2014/main" id="{892201D4-904D-4A14-8FDA-F7EED7C2D642}"/>
            </a:ext>
          </a:extLst>
        </xdr:cNvPr>
        <xdr:cNvSpPr/>
      </xdr:nvSpPr>
      <xdr:spPr>
        <a:xfrm>
          <a:off x="154460" y="6459279"/>
          <a:ext cx="7288868" cy="1360439"/>
        </a:xfrm>
        <a:prstGeom prst="roundRect">
          <a:avLst/>
        </a:prstGeom>
        <a:solidFill>
          <a:schemeClr val="accent5">
            <a:lumMod val="20000"/>
            <a:lumOff val="80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r>
            <a:rPr lang="en-US" sz="1400" b="1">
              <a:solidFill>
                <a:srgbClr val="FF0000"/>
              </a:solidFill>
            </a:rPr>
            <a:t>Tax Estimate Disclaimer:</a:t>
          </a:r>
          <a:r>
            <a:rPr lang="en-US" sz="1400">
              <a:solidFill>
                <a:srgbClr val="FF0000"/>
              </a:solidFill>
            </a:rPr>
            <a:t> This calculation is an estimate for informational purposes only; final tax liabilities may vary. To mitigate underpayment penalties, ensure "Safe Harbor" amounts are paid by December 31st (or January 15th). We recommend including a 10% buffer to account for unexpected income or reporting variances.</a:t>
          </a:r>
          <a:endParaRPr lang="en-US" sz="1100">
            <a:solidFill>
              <a:srgbClr val="FF0000"/>
            </a:solidFill>
          </a:endParaRPr>
        </a:p>
      </xdr:txBody>
    </xdr:sp>
    <xdr:clientData/>
  </xdr:twoCellAnchor>
  <xdr:twoCellAnchor>
    <xdr:from>
      <xdr:col>13</xdr:col>
      <xdr:colOff>84496</xdr:colOff>
      <xdr:row>4</xdr:row>
      <xdr:rowOff>130585</xdr:rowOff>
    </xdr:from>
    <xdr:to>
      <xdr:col>14</xdr:col>
      <xdr:colOff>291896</xdr:colOff>
      <xdr:row>4</xdr:row>
      <xdr:rowOff>145948</xdr:rowOff>
    </xdr:to>
    <xdr:cxnSp macro="">
      <xdr:nvCxnSpPr>
        <xdr:cNvPr id="3" name="Straight Arrow Connector 2">
          <a:extLst>
            <a:ext uri="{FF2B5EF4-FFF2-40B4-BE49-F238E27FC236}">
              <a16:creationId xmlns:a16="http://schemas.microsoft.com/office/drawing/2014/main" id="{2EAC7242-4FA8-4362-A23B-B419E0E8A32F}"/>
            </a:ext>
          </a:extLst>
        </xdr:cNvPr>
        <xdr:cNvCxnSpPr/>
      </xdr:nvCxnSpPr>
      <xdr:spPr>
        <a:xfrm flipH="1" flipV="1">
          <a:off x="7542571" y="1197385"/>
          <a:ext cx="540775" cy="15363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38407</xdr:colOff>
      <xdr:row>1</xdr:row>
      <xdr:rowOff>199717</xdr:rowOff>
    </xdr:from>
    <xdr:to>
      <xdr:col>14</xdr:col>
      <xdr:colOff>337984</xdr:colOff>
      <xdr:row>2</xdr:row>
      <xdr:rowOff>84496</xdr:rowOff>
    </xdr:to>
    <xdr:cxnSp macro="">
      <xdr:nvCxnSpPr>
        <xdr:cNvPr id="4" name="Straight Arrow Connector 3">
          <a:extLst>
            <a:ext uri="{FF2B5EF4-FFF2-40B4-BE49-F238E27FC236}">
              <a16:creationId xmlns:a16="http://schemas.microsoft.com/office/drawing/2014/main" id="{CE2E1FDD-E416-49A9-9947-CF1AC67BE62D}"/>
            </a:ext>
          </a:extLst>
        </xdr:cNvPr>
        <xdr:cNvCxnSpPr/>
      </xdr:nvCxnSpPr>
      <xdr:spPr>
        <a:xfrm flipH="1" flipV="1">
          <a:off x="7496482" y="399742"/>
          <a:ext cx="632952" cy="256254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</xdr:colOff>
      <xdr:row>69</xdr:row>
      <xdr:rowOff>0</xdr:rowOff>
    </xdr:from>
    <xdr:to>
      <xdr:col>27</xdr:col>
      <xdr:colOff>15364</xdr:colOff>
      <xdr:row>76</xdr:row>
      <xdr:rowOff>53770</xdr:rowOff>
    </xdr:to>
    <xdr:sp macro="" textlink="">
      <xdr:nvSpPr>
        <xdr:cNvPr id="5" name="Rectangle: Rounded Corners 4">
          <a:extLst>
            <a:ext uri="{FF2B5EF4-FFF2-40B4-BE49-F238E27FC236}">
              <a16:creationId xmlns:a16="http://schemas.microsoft.com/office/drawing/2014/main" id="{74D4A307-8210-4011-BDA7-6C2101272F6B}"/>
            </a:ext>
          </a:extLst>
        </xdr:cNvPr>
        <xdr:cNvSpPr/>
      </xdr:nvSpPr>
      <xdr:spPr>
        <a:xfrm>
          <a:off x="8134658" y="6421694"/>
          <a:ext cx="3003448" cy="1398024"/>
        </a:xfrm>
        <a:prstGeom prst="roundRect">
          <a:avLst/>
        </a:prstGeom>
        <a:solidFill>
          <a:schemeClr val="accent5">
            <a:lumMod val="20000"/>
            <a:lumOff val="80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r>
            <a:rPr lang="en-US">
              <a:solidFill>
                <a:srgbClr val="FF0000"/>
              </a:solidFill>
            </a:rPr>
            <a:t>When making your payment on the IRS website, please select the following options:</a:t>
          </a:r>
        </a:p>
        <a:p>
          <a:r>
            <a:rPr lang="en-US" b="1">
              <a:solidFill>
                <a:srgbClr val="FF0000"/>
              </a:solidFill>
            </a:rPr>
            <a:t>Reason for Payment:</a:t>
          </a:r>
          <a:r>
            <a:rPr lang="en-US">
              <a:solidFill>
                <a:srgbClr val="FF0000"/>
              </a:solidFill>
            </a:rPr>
            <a:t> Estimated Tax</a:t>
          </a:r>
        </a:p>
        <a:p>
          <a:r>
            <a:rPr lang="en-US" b="1">
              <a:solidFill>
                <a:srgbClr val="FF0000"/>
              </a:solidFill>
            </a:rPr>
            <a:t>Apply Payment To:</a:t>
          </a:r>
          <a:r>
            <a:rPr lang="en-US">
              <a:solidFill>
                <a:srgbClr val="FF0000"/>
              </a:solidFill>
            </a:rPr>
            <a:t> 1040-ES (for 1040, 1040-SR, 1040-NR)</a:t>
          </a:r>
        </a:p>
        <a:p>
          <a:r>
            <a:rPr lang="en-US" b="1">
              <a:solidFill>
                <a:srgbClr val="FF0000"/>
              </a:solidFill>
            </a:rPr>
            <a:t>Tax Period for Payment:</a:t>
          </a:r>
          <a:r>
            <a:rPr lang="en-US">
              <a:solidFill>
                <a:srgbClr val="FF0000"/>
              </a:solidFill>
            </a:rPr>
            <a:t> 2025</a:t>
          </a:r>
        </a:p>
        <a:p>
          <a:pPr algn="l"/>
          <a:endParaRPr lang="en-US" sz="1100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ramo/Downloads/expense-reimbursement-form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SERVER2019\Employee%20Data\OneDrive\2026%20Forms%20(%20Final)\2016%20Tax%20Season\Income%20Tax%20Estimator%202025.xlsx" TargetMode="External"/><Relationship Id="rId1" Type="http://schemas.openxmlformats.org/officeDocument/2006/relationships/externalLinkPath" Target="/OneDrive/2026%20Forms%20(%20Final)/2016%20Tax%20Season/Income%20Tax%20Estimator%20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xpenseReport"/>
      <sheetName val="Categories"/>
      <sheetName val="©"/>
    </sheetNames>
    <sheetDataSet>
      <sheetData sheetId="0"/>
      <sheetData sheetId="1">
        <row r="1">
          <cell r="A1" t="str">
            <v>**** Categories ****</v>
          </cell>
        </row>
        <row r="2">
          <cell r="A2" t="str">
            <v>Advertising, Sales Exp</v>
          </cell>
        </row>
        <row r="3">
          <cell r="A3" t="str">
            <v>Accounting Fee</v>
          </cell>
        </row>
        <row r="4">
          <cell r="A4" t="str">
            <v>Automobile and truck expenses</v>
          </cell>
        </row>
        <row r="5">
          <cell r="A5" t="str">
            <v>Business Miles</v>
          </cell>
        </row>
        <row r="6">
          <cell r="A6" t="str">
            <v>Bank Service Charges</v>
          </cell>
        </row>
        <row r="7">
          <cell r="A7" t="str">
            <v>Cleaning / Janitorial</v>
          </cell>
        </row>
        <row r="8">
          <cell r="A8" t="str">
            <v>Dues &amp; Membership</v>
          </cell>
        </row>
        <row r="9">
          <cell r="A9" t="str">
            <v>Insurance (Business Related)</v>
          </cell>
        </row>
        <row r="10">
          <cell r="A10" t="str">
            <v>Internet</v>
          </cell>
        </row>
        <row r="11">
          <cell r="A11" t="str">
            <v>Interest on business Loan/Car</v>
          </cell>
        </row>
        <row r="12">
          <cell r="A12" t="str">
            <v>License and Permits</v>
          </cell>
        </row>
        <row r="13">
          <cell r="A13" t="str">
            <v>Legal and professional fees</v>
          </cell>
        </row>
        <row r="14">
          <cell r="A14" t="str">
            <v>Lease Payments ( Car, Printer etc)</v>
          </cell>
        </row>
        <row r="15">
          <cell r="A15" t="str">
            <v>Meal and Entetainment</v>
          </cell>
        </row>
        <row r="16">
          <cell r="A16" t="str">
            <v>Office Expense &amp; Printing</v>
          </cell>
        </row>
        <row r="17">
          <cell r="A17" t="str">
            <v>Payroll Processing Fee</v>
          </cell>
        </row>
        <row r="18">
          <cell r="A18" t="str">
            <v>Parking and Toll</v>
          </cell>
        </row>
        <row r="19">
          <cell r="A19" t="str">
            <v>Postage/Delivery Expenses</v>
          </cell>
        </row>
        <row r="20">
          <cell r="A20" t="str">
            <v>Rent for the office or Eqipments</v>
          </cell>
        </row>
        <row r="21">
          <cell r="A21" t="str">
            <v>Repairs on Business Assets</v>
          </cell>
        </row>
        <row r="22">
          <cell r="A22" t="str">
            <v>State Income Tax paid for last year</v>
          </cell>
        </row>
        <row r="23">
          <cell r="A23" t="str">
            <v>Sec of State ( Annual Report)</v>
          </cell>
        </row>
        <row r="24">
          <cell r="A24" t="str">
            <v>Software Exp</v>
          </cell>
        </row>
        <row r="25">
          <cell r="A25" t="str">
            <v>Storage /Server Fees</v>
          </cell>
        </row>
        <row r="26">
          <cell r="A26" t="str">
            <v>Seminars &amp; Trade Shows</v>
          </cell>
        </row>
        <row r="27">
          <cell r="A27" t="str">
            <v>Small Tools/Small Office Furniture</v>
          </cell>
        </row>
        <row r="28">
          <cell r="A28" t="str">
            <v>Security Service</v>
          </cell>
        </row>
        <row r="29">
          <cell r="A29" t="str">
            <v>Traning Exp/Prof Development</v>
          </cell>
        </row>
        <row r="30">
          <cell r="A30" t="str">
            <v>Telephone  (Land, Cell, Fax)</v>
          </cell>
        </row>
        <row r="31">
          <cell r="A31" t="str">
            <v>Travel Exp (Flight, Taxi etc)</v>
          </cell>
        </row>
        <row r="32">
          <cell r="A32" t="str">
            <v>Website/Webhosting</v>
          </cell>
        </row>
        <row r="33">
          <cell r="A33"/>
        </row>
        <row r="34">
          <cell r="A34"/>
        </row>
        <row r="35">
          <cell r="A35"/>
        </row>
        <row r="36">
          <cell r="A36"/>
        </row>
        <row r="37">
          <cell r="A37"/>
        </row>
        <row r="38">
          <cell r="A38"/>
        </row>
        <row r="39">
          <cell r="A39"/>
        </row>
        <row r="40">
          <cell r="A40"/>
        </row>
        <row r="41">
          <cell r="A41"/>
        </row>
        <row r="42">
          <cell r="A42"/>
        </row>
        <row r="43">
          <cell r="A43"/>
        </row>
        <row r="44">
          <cell r="A44"/>
        </row>
        <row r="45">
          <cell r="A45"/>
        </row>
        <row r="46">
          <cell r="A46"/>
        </row>
      </sheetData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Tax Estimator"/>
      <sheetName val="Links"/>
    </sheetNames>
    <sheetDataSet>
      <sheetData sheetId="0">
        <row r="24">
          <cell r="AC24">
            <v>0.1</v>
          </cell>
          <cell r="AD24">
            <v>0</v>
          </cell>
          <cell r="AE24">
            <v>12400</v>
          </cell>
          <cell r="AF24">
            <v>0</v>
          </cell>
          <cell r="AG24">
            <v>24800</v>
          </cell>
          <cell r="AH24">
            <v>0</v>
          </cell>
          <cell r="AI24">
            <v>12400</v>
          </cell>
          <cell r="AJ24">
            <v>0</v>
          </cell>
          <cell r="AK24">
            <v>17700</v>
          </cell>
          <cell r="AL24">
            <v>2026</v>
          </cell>
        </row>
        <row r="25">
          <cell r="AC25">
            <v>0.12</v>
          </cell>
          <cell r="AD25">
            <v>12401</v>
          </cell>
          <cell r="AE25">
            <v>50400</v>
          </cell>
          <cell r="AF25">
            <v>24801</v>
          </cell>
          <cell r="AG25">
            <v>100800</v>
          </cell>
          <cell r="AH25">
            <v>12401</v>
          </cell>
          <cell r="AI25">
            <v>50400</v>
          </cell>
          <cell r="AJ25">
            <v>17701</v>
          </cell>
          <cell r="AK25">
            <v>67450</v>
          </cell>
          <cell r="AL25">
            <v>2026</v>
          </cell>
          <cell r="AO25" t="str">
            <v>Single</v>
          </cell>
        </row>
        <row r="26">
          <cell r="AC26">
            <v>0.22</v>
          </cell>
          <cell r="AD26">
            <v>50401</v>
          </cell>
          <cell r="AE26">
            <v>105700</v>
          </cell>
          <cell r="AF26">
            <v>100801</v>
          </cell>
          <cell r="AG26">
            <v>211400</v>
          </cell>
          <cell r="AH26">
            <v>50401</v>
          </cell>
          <cell r="AI26">
            <v>105700</v>
          </cell>
          <cell r="AJ26">
            <v>67451</v>
          </cell>
          <cell r="AK26">
            <v>105700</v>
          </cell>
          <cell r="AL26">
            <v>2026</v>
          </cell>
          <cell r="AO26" t="str">
            <v>MFJ</v>
          </cell>
        </row>
        <row r="27">
          <cell r="AC27">
            <v>0.24</v>
          </cell>
          <cell r="AD27">
            <v>105701</v>
          </cell>
          <cell r="AE27">
            <v>201775</v>
          </cell>
          <cell r="AF27">
            <v>211401</v>
          </cell>
          <cell r="AG27">
            <v>403550</v>
          </cell>
          <cell r="AH27">
            <v>105701</v>
          </cell>
          <cell r="AI27">
            <v>201775</v>
          </cell>
          <cell r="AJ27">
            <v>105701</v>
          </cell>
          <cell r="AK27">
            <v>201750</v>
          </cell>
          <cell r="AL27">
            <v>2026</v>
          </cell>
          <cell r="AO27" t="str">
            <v>MFS</v>
          </cell>
        </row>
        <row r="28">
          <cell r="AC28">
            <v>0.32</v>
          </cell>
          <cell r="AD28">
            <v>201776</v>
          </cell>
          <cell r="AE28">
            <v>256225</v>
          </cell>
          <cell r="AF28">
            <v>403551</v>
          </cell>
          <cell r="AG28">
            <v>512450</v>
          </cell>
          <cell r="AH28">
            <v>201776</v>
          </cell>
          <cell r="AI28">
            <v>256225</v>
          </cell>
          <cell r="AJ28">
            <v>201751</v>
          </cell>
          <cell r="AK28">
            <v>256200</v>
          </cell>
          <cell r="AL28">
            <v>2026</v>
          </cell>
          <cell r="AO28" t="str">
            <v>HH</v>
          </cell>
        </row>
        <row r="30">
          <cell r="AC30">
            <v>0.35</v>
          </cell>
          <cell r="AD30">
            <v>256226</v>
          </cell>
          <cell r="AE30">
            <v>640600</v>
          </cell>
          <cell r="AF30">
            <v>512450</v>
          </cell>
          <cell r="AG30">
            <v>768700</v>
          </cell>
          <cell r="AH30">
            <v>256226</v>
          </cell>
          <cell r="AI30">
            <v>640600</v>
          </cell>
          <cell r="AJ30">
            <v>256201</v>
          </cell>
          <cell r="AK30">
            <v>640600</v>
          </cell>
          <cell r="AL30">
            <v>2026</v>
          </cell>
        </row>
        <row r="31">
          <cell r="AC31">
            <v>0.37</v>
          </cell>
          <cell r="AD31">
            <v>640601</v>
          </cell>
          <cell r="AE31" t="str">
            <v>and up</v>
          </cell>
          <cell r="AF31">
            <v>768701</v>
          </cell>
          <cell r="AG31" t="str">
            <v>and up</v>
          </cell>
          <cell r="AH31">
            <v>640601</v>
          </cell>
          <cell r="AI31" t="str">
            <v>and up</v>
          </cell>
          <cell r="AJ31">
            <v>640601</v>
          </cell>
          <cell r="AK31" t="str">
            <v>and up</v>
          </cell>
          <cell r="AL31">
            <v>2026</v>
          </cell>
        </row>
        <row r="32">
          <cell r="AC32">
            <v>0.1</v>
          </cell>
          <cell r="AD32">
            <v>0</v>
          </cell>
          <cell r="AE32">
            <v>11925</v>
          </cell>
          <cell r="AF32">
            <v>0</v>
          </cell>
          <cell r="AG32">
            <v>23850</v>
          </cell>
          <cell r="AH32">
            <v>0</v>
          </cell>
          <cell r="AI32">
            <v>11925</v>
          </cell>
          <cell r="AJ32">
            <v>0</v>
          </cell>
          <cell r="AK32">
            <v>17000</v>
          </cell>
          <cell r="AL32">
            <v>2025</v>
          </cell>
        </row>
        <row r="33">
          <cell r="AC33">
            <v>0.12</v>
          </cell>
          <cell r="AD33">
            <v>11926</v>
          </cell>
          <cell r="AE33">
            <v>48475</v>
          </cell>
          <cell r="AF33">
            <v>23851</v>
          </cell>
          <cell r="AG33">
            <v>96950</v>
          </cell>
          <cell r="AH33">
            <v>11926</v>
          </cell>
          <cell r="AI33">
            <v>48475</v>
          </cell>
          <cell r="AJ33">
            <v>17001</v>
          </cell>
          <cell r="AK33">
            <v>64850</v>
          </cell>
          <cell r="AL33">
            <v>2025</v>
          </cell>
        </row>
        <row r="34">
          <cell r="AC34">
            <v>0.22</v>
          </cell>
          <cell r="AD34">
            <v>48476</v>
          </cell>
          <cell r="AE34">
            <v>103350</v>
          </cell>
          <cell r="AF34">
            <v>96951</v>
          </cell>
          <cell r="AG34">
            <v>206700</v>
          </cell>
          <cell r="AH34">
            <v>48476</v>
          </cell>
          <cell r="AI34">
            <v>103350</v>
          </cell>
          <cell r="AJ34">
            <v>64851</v>
          </cell>
          <cell r="AK34">
            <v>103350</v>
          </cell>
          <cell r="AL34">
            <v>2025</v>
          </cell>
        </row>
        <row r="35">
          <cell r="AC35">
            <v>0.24</v>
          </cell>
          <cell r="AD35">
            <v>103351</v>
          </cell>
          <cell r="AE35">
            <v>197300</v>
          </cell>
          <cell r="AF35">
            <v>206701</v>
          </cell>
          <cell r="AG35">
            <v>394600</v>
          </cell>
          <cell r="AH35">
            <v>103351</v>
          </cell>
          <cell r="AI35">
            <v>197300</v>
          </cell>
          <cell r="AJ35">
            <v>103351</v>
          </cell>
          <cell r="AK35">
            <v>197300</v>
          </cell>
          <cell r="AL35">
            <v>2025</v>
          </cell>
        </row>
        <row r="36">
          <cell r="AC36">
            <v>0.32</v>
          </cell>
          <cell r="AD36">
            <v>197301</v>
          </cell>
          <cell r="AE36">
            <v>250525</v>
          </cell>
          <cell r="AF36">
            <v>394601</v>
          </cell>
          <cell r="AG36">
            <v>500050</v>
          </cell>
          <cell r="AH36">
            <v>197301</v>
          </cell>
          <cell r="AI36">
            <v>250525</v>
          </cell>
          <cell r="AJ36">
            <v>197301</v>
          </cell>
          <cell r="AK36">
            <v>250500</v>
          </cell>
          <cell r="AL36">
            <v>2025</v>
          </cell>
        </row>
        <row r="37">
          <cell r="AC37">
            <v>0.35</v>
          </cell>
          <cell r="AD37">
            <v>250526</v>
          </cell>
          <cell r="AE37">
            <v>626350</v>
          </cell>
          <cell r="AF37">
            <v>501051</v>
          </cell>
          <cell r="AG37">
            <v>751600</v>
          </cell>
          <cell r="AH37">
            <v>250526</v>
          </cell>
          <cell r="AI37">
            <v>626350</v>
          </cell>
          <cell r="AJ37">
            <v>250501</v>
          </cell>
          <cell r="AK37">
            <v>626350</v>
          </cell>
          <cell r="AL37">
            <v>2025</v>
          </cell>
        </row>
        <row r="38">
          <cell r="AC38">
            <v>0.37</v>
          </cell>
          <cell r="AD38">
            <v>626350</v>
          </cell>
          <cell r="AE38" t="str">
            <v>and up</v>
          </cell>
          <cell r="AF38">
            <v>751600</v>
          </cell>
          <cell r="AG38" t="str">
            <v>and up</v>
          </cell>
          <cell r="AH38">
            <v>626350</v>
          </cell>
          <cell r="AI38" t="str">
            <v>and up</v>
          </cell>
          <cell r="AJ38">
            <v>626351</v>
          </cell>
          <cell r="AK38" t="str">
            <v>and up</v>
          </cell>
          <cell r="AL38">
            <v>2025</v>
          </cell>
        </row>
        <row r="39">
          <cell r="AC39">
            <v>0.1</v>
          </cell>
          <cell r="AD39">
            <v>0</v>
          </cell>
          <cell r="AE39">
            <v>11600</v>
          </cell>
          <cell r="AF39">
            <v>0</v>
          </cell>
          <cell r="AG39">
            <v>23200</v>
          </cell>
          <cell r="AH39">
            <v>0</v>
          </cell>
          <cell r="AI39">
            <v>11600</v>
          </cell>
          <cell r="AJ39">
            <v>0</v>
          </cell>
          <cell r="AK39">
            <v>16550</v>
          </cell>
          <cell r="AL39">
            <v>2024</v>
          </cell>
        </row>
        <row r="40">
          <cell r="AC40">
            <v>0.12</v>
          </cell>
          <cell r="AD40">
            <v>11601</v>
          </cell>
          <cell r="AE40">
            <v>47150</v>
          </cell>
          <cell r="AF40">
            <v>23201</v>
          </cell>
          <cell r="AG40">
            <v>94300</v>
          </cell>
          <cell r="AH40">
            <v>11601</v>
          </cell>
          <cell r="AI40">
            <v>47150</v>
          </cell>
          <cell r="AJ40">
            <v>16551</v>
          </cell>
          <cell r="AK40">
            <v>63100</v>
          </cell>
          <cell r="AL40">
            <v>2024</v>
          </cell>
        </row>
        <row r="41">
          <cell r="AC41">
            <v>0.22</v>
          </cell>
          <cell r="AD41">
            <v>42751</v>
          </cell>
          <cell r="AE41">
            <v>100525</v>
          </cell>
          <cell r="AF41">
            <v>94301</v>
          </cell>
          <cell r="AG41">
            <v>201050</v>
          </cell>
          <cell r="AH41">
            <v>42751</v>
          </cell>
          <cell r="AI41">
            <v>100525</v>
          </cell>
          <cell r="AJ41">
            <v>63101</v>
          </cell>
          <cell r="AK41">
            <v>100500</v>
          </cell>
          <cell r="AL41">
            <v>2024</v>
          </cell>
        </row>
        <row r="42">
          <cell r="AC42">
            <v>0.24</v>
          </cell>
          <cell r="AD42">
            <v>100526</v>
          </cell>
          <cell r="AE42">
            <v>191950</v>
          </cell>
          <cell r="AF42">
            <v>201051</v>
          </cell>
          <cell r="AG42">
            <v>383900</v>
          </cell>
          <cell r="AH42">
            <v>100526</v>
          </cell>
          <cell r="AI42">
            <v>191950</v>
          </cell>
          <cell r="AJ42">
            <v>100501</v>
          </cell>
          <cell r="AK42">
            <v>191950</v>
          </cell>
          <cell r="AL42">
            <v>2024</v>
          </cell>
        </row>
        <row r="43">
          <cell r="AC43">
            <v>0.32</v>
          </cell>
          <cell r="AD43">
            <v>191951</v>
          </cell>
          <cell r="AE43">
            <v>243725</v>
          </cell>
          <cell r="AF43">
            <v>383901</v>
          </cell>
          <cell r="AG43">
            <v>487450</v>
          </cell>
          <cell r="AH43">
            <v>191951</v>
          </cell>
          <cell r="AI43">
            <v>243725</v>
          </cell>
          <cell r="AJ43">
            <v>191951</v>
          </cell>
          <cell r="AK43">
            <v>243700</v>
          </cell>
          <cell r="AL43">
            <v>2024</v>
          </cell>
        </row>
        <row r="44">
          <cell r="AC44">
            <v>0.35</v>
          </cell>
          <cell r="AD44">
            <v>243726</v>
          </cell>
          <cell r="AE44">
            <v>609350</v>
          </cell>
          <cell r="AF44">
            <v>487451</v>
          </cell>
          <cell r="AG44">
            <v>731200</v>
          </cell>
          <cell r="AH44">
            <v>243726</v>
          </cell>
          <cell r="AI44">
            <v>609350</v>
          </cell>
          <cell r="AJ44">
            <v>243701</v>
          </cell>
          <cell r="AK44">
            <v>609350</v>
          </cell>
          <cell r="AL44">
            <v>2024</v>
          </cell>
        </row>
        <row r="45">
          <cell r="AC45">
            <v>0.37</v>
          </cell>
          <cell r="AD45">
            <v>609351</v>
          </cell>
          <cell r="AE45" t="str">
            <v xml:space="preserve"> </v>
          </cell>
          <cell r="AF45">
            <v>731201</v>
          </cell>
          <cell r="AG45" t="str">
            <v>and up</v>
          </cell>
          <cell r="AH45">
            <v>609351</v>
          </cell>
          <cell r="AI45" t="str">
            <v xml:space="preserve"> </v>
          </cell>
          <cell r="AJ45">
            <v>609351</v>
          </cell>
          <cell r="AK45" t="str">
            <v>and up</v>
          </cell>
          <cell r="AL45">
            <v>2024</v>
          </cell>
        </row>
      </sheetData>
      <sheetData sheetId="1" refreshError="1"/>
    </sheetDataSet>
  </externalBook>
</externalLink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directpay.irs.gov/directpay/payment?execution=e1s1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hyperlink" Target="https://tax.illinois.gov/individuals/pay.html" TargetMode="External"/></Relationships>
</file>

<file path=xl/worksheets/_rels/sheet3.xml.rels><?xml version="1.0" encoding="UTF-8" standalone="yes"?>
<Relationships xmlns="http://schemas.openxmlformats.org/package/2006/relationships"><Relationship Id="rId13" Type="http://schemas.openxmlformats.org/officeDocument/2006/relationships/hyperlink" Target="https://revenue.iowa.gov/taxes/make-payment" TargetMode="External"/><Relationship Id="rId18" Type="http://schemas.openxmlformats.org/officeDocument/2006/relationships/hyperlink" Target="https://www.mass.gov/info-details/massachusetts-dor-estimated-tax-payments" TargetMode="External"/><Relationship Id="rId26" Type="http://schemas.openxmlformats.org/officeDocument/2006/relationships/hyperlink" Target="https://www.nj.gov/treasury/taxation/njit20.shtml" TargetMode="External"/><Relationship Id="rId39" Type="http://schemas.openxmlformats.org/officeDocument/2006/relationships/hyperlink" Target="https://www.google.com/search?q=https://mytaxes.wv.gov/Individual/Payments/PayPersonalIncomeTax" TargetMode="External"/><Relationship Id="rId21" Type="http://schemas.openxmlformats.org/officeDocument/2006/relationships/hyperlink" Target="https://www.dor.ms.gov/forms-resources/make-online-tax-payments" TargetMode="External"/><Relationship Id="rId34" Type="http://schemas.openxmlformats.org/officeDocument/2006/relationships/hyperlink" Target="https://taxportal.ri.gov/" TargetMode="External"/><Relationship Id="rId42" Type="http://schemas.openxmlformats.org/officeDocument/2006/relationships/hyperlink" Target="https://tax.ohio.gov/" TargetMode="External"/><Relationship Id="rId7" Type="http://schemas.openxmlformats.org/officeDocument/2006/relationships/hyperlink" Target="https://tax.delaware.gov/" TargetMode="External"/><Relationship Id="rId2" Type="http://schemas.openxmlformats.org/officeDocument/2006/relationships/hyperlink" Target="https://www.google.com/search?q=https://aztaxes.gov/PaymentMethod/PaymentOptions" TargetMode="External"/><Relationship Id="rId16" Type="http://schemas.openxmlformats.org/officeDocument/2006/relationships/hyperlink" Target="https://revenue.maine.gov/" TargetMode="External"/><Relationship Id="rId20" Type="http://schemas.openxmlformats.org/officeDocument/2006/relationships/hyperlink" Target="https://www.revenue.state.mn.us/" TargetMode="External"/><Relationship Id="rId29" Type="http://schemas.openxmlformats.org/officeDocument/2006/relationships/hyperlink" Target="https://www.ncdor.gov/file-pay/file-pay-individuals" TargetMode="External"/><Relationship Id="rId41" Type="http://schemas.openxmlformats.org/officeDocument/2006/relationships/hyperlink" Target="https://directpay.irs.gov/directpay/payment?execution=e1s1" TargetMode="External"/><Relationship Id="rId1" Type="http://schemas.openxmlformats.org/officeDocument/2006/relationships/hyperlink" Target="https://myalabamataxes.alabama.gov/" TargetMode="External"/><Relationship Id="rId6" Type="http://schemas.openxmlformats.org/officeDocument/2006/relationships/hyperlink" Target="https://drs.ct.gov/eservices/" TargetMode="External"/><Relationship Id="rId11" Type="http://schemas.openxmlformats.org/officeDocument/2006/relationships/hyperlink" Target="https://tax.illinois.gov/individuals/pay.html" TargetMode="External"/><Relationship Id="rId24" Type="http://schemas.openxmlformats.org/officeDocument/2006/relationships/hyperlink" Target="https://revenue.nebraska.gov/individuals/estimated-income-tax" TargetMode="External"/><Relationship Id="rId32" Type="http://schemas.openxmlformats.org/officeDocument/2006/relationships/hyperlink" Target="https://www.oregon.gov/dor/programs/individuals/pages/personal-income-tax-payments.aspx" TargetMode="External"/><Relationship Id="rId37" Type="http://schemas.openxmlformats.org/officeDocument/2006/relationships/hyperlink" Target="https://www.vermont.gov/service/pay-estimated-income-tax" TargetMode="External"/><Relationship Id="rId40" Type="http://schemas.openxmlformats.org/officeDocument/2006/relationships/hyperlink" Target="https://www.revenue.wi.gov/Pages/OnlineServices/Pay.aspx" TargetMode="External"/><Relationship Id="rId5" Type="http://schemas.openxmlformats.org/officeDocument/2006/relationships/hyperlink" Target="https://tax.colorado.gov/pay-by-credit-debit-echeck" TargetMode="External"/><Relationship Id="rId15" Type="http://schemas.openxmlformats.org/officeDocument/2006/relationships/hyperlink" Target="https://epayment.ky.gov/EPAY" TargetMode="External"/><Relationship Id="rId23" Type="http://schemas.openxmlformats.org/officeDocument/2006/relationships/hyperlink" Target="https://revenue.mt.gov/taxes/estimated-tax-payments" TargetMode="External"/><Relationship Id="rId28" Type="http://schemas.openxmlformats.org/officeDocument/2006/relationships/hyperlink" Target="https://www.tax.ny.gov/pay/ind/pay-estimated-tax.htm" TargetMode="External"/><Relationship Id="rId36" Type="http://schemas.openxmlformats.org/officeDocument/2006/relationships/hyperlink" Target="https://www.google.com/search?q=https://tap.utah.gov" TargetMode="External"/><Relationship Id="rId10" Type="http://schemas.openxmlformats.org/officeDocument/2006/relationships/hyperlink" Target="https://tax.idaho.gov/online-services/e-pay/" TargetMode="External"/><Relationship Id="rId19" Type="http://schemas.openxmlformats.org/officeDocument/2006/relationships/hyperlink" Target="https://etreas.michigan.gov/" TargetMode="External"/><Relationship Id="rId31" Type="http://schemas.openxmlformats.org/officeDocument/2006/relationships/hyperlink" Target="https://oktap.tax.ok.gov/" TargetMode="External"/><Relationship Id="rId4" Type="http://schemas.openxmlformats.org/officeDocument/2006/relationships/hyperlink" Target="https://webapp.ftb.ca.gov/webpay/login/login" TargetMode="External"/><Relationship Id="rId9" Type="http://schemas.openxmlformats.org/officeDocument/2006/relationships/hyperlink" Target="https://portal.ehawaii.gov/business/tax-services/" TargetMode="External"/><Relationship Id="rId14" Type="http://schemas.openxmlformats.org/officeDocument/2006/relationships/hyperlink" Target="https://www.kansas.gov/payment-portal/" TargetMode="External"/><Relationship Id="rId22" Type="http://schemas.openxmlformats.org/officeDocument/2006/relationships/hyperlink" Target="https://mytax.mo.gov/rptp/portal/home/indiv-income-tax" TargetMode="External"/><Relationship Id="rId27" Type="http://schemas.openxmlformats.org/officeDocument/2006/relationships/hyperlink" Target="https://tap.state.nm.us/TAP/_/" TargetMode="External"/><Relationship Id="rId30" Type="http://schemas.openxmlformats.org/officeDocument/2006/relationships/hyperlink" Target="https://www.tax.nd.gov/" TargetMode="External"/><Relationship Id="rId35" Type="http://schemas.openxmlformats.org/officeDocument/2006/relationships/hyperlink" Target="https://dor.sc.gov/mydorway" TargetMode="External"/><Relationship Id="rId8" Type="http://schemas.openxmlformats.org/officeDocument/2006/relationships/hyperlink" Target="https://dor.georgia.gov/make-quick-payment" TargetMode="External"/><Relationship Id="rId3" Type="http://schemas.openxmlformats.org/officeDocument/2006/relationships/hyperlink" Target="https://atap.arkansas.gov/" TargetMode="External"/><Relationship Id="rId12" Type="http://schemas.openxmlformats.org/officeDocument/2006/relationships/hyperlink" Target="https://www.in.gov/dor/i-need-to/payments-and-billing/" TargetMode="External"/><Relationship Id="rId17" Type="http://schemas.openxmlformats.org/officeDocument/2006/relationships/hyperlink" Target="https://interactive.marylandtaxes.gov/Individuals/Payment/" TargetMode="External"/><Relationship Id="rId25" Type="http://schemas.openxmlformats.org/officeDocument/2006/relationships/hyperlink" Target="https://gtc.revenue.nh.gov/TAP/_/" TargetMode="External"/><Relationship Id="rId33" Type="http://schemas.openxmlformats.org/officeDocument/2006/relationships/hyperlink" Target="https://www.pa.gov/services/revenue/make-a-personal-income-tax-payment" TargetMode="External"/><Relationship Id="rId38" Type="http://schemas.openxmlformats.org/officeDocument/2006/relationships/hyperlink" Target="https://www.tax.virginia.gov/individual-estimated-tax-payments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C4DC74-FA71-4BC3-9EDC-50177E829F4B}">
  <dimension ref="A1:BN153"/>
  <sheetViews>
    <sheetView showGridLines="0" tabSelected="1" zoomScale="124" zoomScaleNormal="124" workbookViewId="0">
      <selection activeCell="B3" sqref="B3:C3"/>
    </sheetView>
  </sheetViews>
  <sheetFormatPr defaultRowHeight="15" x14ac:dyDescent="0.25"/>
  <cols>
    <col min="1" max="1" width="19.5703125" customWidth="1"/>
    <col min="2" max="2" width="11" customWidth="1"/>
    <col min="3" max="3" width="18.140625" customWidth="1"/>
    <col min="4" max="4" width="25.42578125" customWidth="1"/>
    <col min="5" max="5" width="18" customWidth="1"/>
    <col min="6" max="6" width="19.7109375" customWidth="1"/>
    <col min="7" max="7" width="19.7109375" hidden="1" customWidth="1"/>
    <col min="8" max="8" width="9.140625" style="1" hidden="1" customWidth="1"/>
    <col min="9" max="9" width="11.140625" hidden="1" customWidth="1"/>
    <col min="10" max="10" width="9.140625" hidden="1" customWidth="1"/>
    <col min="11" max="11" width="12.85546875" hidden="1" customWidth="1"/>
    <col min="12" max="12" width="12.85546875" style="1" hidden="1" customWidth="1"/>
    <col min="13" max="13" width="6.85546875" style="3" hidden="1" customWidth="1"/>
    <col min="14" max="14" width="5" style="2" customWidth="1"/>
    <col min="15" max="15" width="5.28515625" style="3" customWidth="1"/>
    <col min="16" max="16" width="13.42578125" style="1" customWidth="1"/>
    <col min="17" max="17" width="12.28515625" style="1" customWidth="1"/>
    <col min="18" max="18" width="9.28515625" style="1" customWidth="1"/>
    <col min="19" max="19" width="9.7109375" style="1" customWidth="1"/>
    <col min="20" max="20" width="9.140625" style="1" hidden="1" customWidth="1"/>
    <col min="21" max="21" width="32.140625" style="1" hidden="1" customWidth="1"/>
    <col min="22" max="22" width="13.42578125" style="1" hidden="1" customWidth="1"/>
    <col min="23" max="23" width="9.140625" style="1" hidden="1" customWidth="1"/>
    <col min="24" max="24" width="16" style="1" hidden="1" customWidth="1"/>
    <col min="25" max="27" width="9.140625" style="1" hidden="1" customWidth="1"/>
    <col min="28" max="28" width="5.28515625" style="1" customWidth="1"/>
    <col min="29" max="29" width="9.140625" style="1" customWidth="1"/>
    <col min="30" max="30" width="12.28515625" style="1" customWidth="1"/>
    <col min="31" max="31" width="11.85546875" style="1" customWidth="1"/>
    <col min="32" max="32" width="12.7109375" style="1" customWidth="1"/>
    <col min="33" max="33" width="11.28515625" style="1" customWidth="1"/>
    <col min="34" max="34" width="10.28515625" style="1" customWidth="1"/>
    <col min="35" max="35" width="14.5703125" style="1" hidden="1" customWidth="1"/>
    <col min="36" max="36" width="10.42578125" style="1" hidden="1" customWidth="1"/>
    <col min="37" max="37" width="12" style="1" hidden="1" customWidth="1"/>
    <col min="38" max="43" width="9.140625" style="1" hidden="1" customWidth="1"/>
    <col min="44" max="44" width="12.85546875" style="1" hidden="1" customWidth="1"/>
    <col min="45" max="45" width="11.28515625" style="1" hidden="1" customWidth="1"/>
    <col min="46" max="53" width="9.140625" style="1" hidden="1" customWidth="1"/>
    <col min="54" max="56" width="9.140625" style="3" hidden="1" customWidth="1"/>
    <col min="57" max="57" width="9.140625" style="1" hidden="1" customWidth="1"/>
    <col min="58" max="58" width="9.140625" style="1" customWidth="1"/>
  </cols>
  <sheetData>
    <row r="1" spans="1:66" ht="15.75" thickBot="1" x14ac:dyDescent="0.3">
      <c r="AU1" s="4">
        <v>0</v>
      </c>
      <c r="AV1" s="4" t="s">
        <v>0</v>
      </c>
      <c r="AW1" s="4" t="s">
        <v>1</v>
      </c>
      <c r="AX1" s="4" t="s">
        <v>2</v>
      </c>
      <c r="AY1" s="4" t="s">
        <v>3</v>
      </c>
      <c r="BA1" s="243" t="s">
        <v>4</v>
      </c>
      <c r="BB1" s="243"/>
      <c r="BC1" s="243"/>
      <c r="BD1" s="243"/>
      <c r="BE1" s="5"/>
      <c r="BF1" s="5"/>
      <c r="BG1" s="5"/>
      <c r="BH1" s="5"/>
      <c r="BI1" s="5"/>
      <c r="BJ1" s="5"/>
      <c r="BK1" s="5"/>
      <c r="BL1" s="3"/>
      <c r="BM1" s="5"/>
      <c r="BN1" s="6">
        <v>0.32</v>
      </c>
    </row>
    <row r="2" spans="1:66" ht="29.25" customHeight="1" thickBot="1" x14ac:dyDescent="0.55000000000000004">
      <c r="A2" s="263" t="s">
        <v>5</v>
      </c>
      <c r="B2" s="264"/>
      <c r="C2" s="265"/>
      <c r="D2" s="265"/>
      <c r="E2" s="265"/>
      <c r="F2" s="7">
        <v>2025</v>
      </c>
      <c r="G2" s="8"/>
      <c r="H2" s="8"/>
      <c r="I2" s="9"/>
      <c r="O2" s="3" t="s">
        <v>6</v>
      </c>
      <c r="P2" s="266" t="s">
        <v>7</v>
      </c>
      <c r="Q2" s="267"/>
      <c r="R2" s="267"/>
      <c r="S2" s="268"/>
      <c r="T2" s="1" t="s">
        <v>8</v>
      </c>
      <c r="U2" s="1" t="s">
        <v>9</v>
      </c>
      <c r="V2" s="10">
        <f>C16+C15+C14</f>
        <v>0</v>
      </c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U2" s="4">
        <v>2025</v>
      </c>
      <c r="AV2" s="4">
        <v>15750</v>
      </c>
      <c r="AW2" s="4">
        <v>31500</v>
      </c>
      <c r="AX2" s="4">
        <v>15750</v>
      </c>
      <c r="AY2" s="4">
        <v>23625</v>
      </c>
      <c r="BA2" s="11"/>
      <c r="BB2" s="11"/>
      <c r="BC2" s="11"/>
      <c r="BD2" s="11"/>
      <c r="BE2" s="12"/>
      <c r="BF2" s="12"/>
      <c r="BG2" s="12"/>
      <c r="BH2" s="3"/>
      <c r="BI2" s="3"/>
      <c r="BJ2" s="3"/>
      <c r="BK2" s="3"/>
      <c r="BL2" s="3"/>
      <c r="BM2" s="5"/>
      <c r="BN2" s="6">
        <v>0.35</v>
      </c>
    </row>
    <row r="3" spans="1:66" ht="20.100000000000001" customHeight="1" x14ac:dyDescent="0.3">
      <c r="A3" s="13" t="s">
        <v>10</v>
      </c>
      <c r="B3" s="269"/>
      <c r="C3" s="270"/>
      <c r="D3" s="271" t="s">
        <v>11</v>
      </c>
      <c r="E3" s="272"/>
      <c r="F3" s="14"/>
      <c r="L3" s="15">
        <f>F2-YEAR(C4)</f>
        <v>125</v>
      </c>
      <c r="N3" s="16"/>
      <c r="O3" s="2">
        <f>IF(L3&gt;100,0,L3)</f>
        <v>0</v>
      </c>
      <c r="P3" s="3" t="s">
        <v>12</v>
      </c>
      <c r="Q3" s="3"/>
      <c r="T3" s="1" t="s">
        <v>13</v>
      </c>
      <c r="U3" s="1" t="s">
        <v>14</v>
      </c>
      <c r="V3" s="1">
        <v>0</v>
      </c>
      <c r="AB3"/>
      <c r="AC3" s="273" t="s">
        <v>15</v>
      </c>
      <c r="AD3" s="274"/>
      <c r="AE3" s="274"/>
      <c r="AF3" s="274"/>
      <c r="AG3" s="275"/>
      <c r="AH3" s="17"/>
      <c r="AI3" s="18"/>
      <c r="AJ3" s="18"/>
      <c r="AK3" s="19"/>
      <c r="AL3" s="20"/>
      <c r="AM3"/>
      <c r="AN3"/>
      <c r="AO3"/>
      <c r="AP3"/>
      <c r="AQ3"/>
      <c r="AU3" s="4">
        <v>2026</v>
      </c>
      <c r="AV3" s="4">
        <v>16100</v>
      </c>
      <c r="AW3" s="4">
        <v>32200</v>
      </c>
      <c r="AX3" s="4">
        <v>16100</v>
      </c>
      <c r="AY3" s="4">
        <v>24150</v>
      </c>
      <c r="BA3" s="231" t="str">
        <f>D18</f>
        <v>Adjusted Gross Income (AGI)</v>
      </c>
      <c r="BB3" s="231"/>
      <c r="BC3" s="231"/>
      <c r="BD3" s="21">
        <f>F18</f>
        <v>0</v>
      </c>
      <c r="BE3" s="12"/>
      <c r="BF3" s="12"/>
      <c r="BG3" s="12"/>
      <c r="BH3" s="3"/>
      <c r="BI3" s="3"/>
      <c r="BJ3" s="3"/>
      <c r="BK3" s="3"/>
      <c r="BL3" s="3"/>
      <c r="BM3" s="5"/>
      <c r="BN3" s="6">
        <v>0.37</v>
      </c>
    </row>
    <row r="4" spans="1:66" ht="20.100000000000001" customHeight="1" x14ac:dyDescent="0.25">
      <c r="A4" s="22" t="s">
        <v>16</v>
      </c>
      <c r="B4" s="172">
        <f>O3</f>
        <v>0</v>
      </c>
      <c r="C4" s="23"/>
      <c r="D4" s="259" t="s">
        <v>17</v>
      </c>
      <c r="E4" s="260"/>
      <c r="F4" s="24"/>
      <c r="L4" s="15">
        <f>F2-YEAR(C5)</f>
        <v>125</v>
      </c>
      <c r="M4" s="163"/>
      <c r="N4" s="16"/>
      <c r="O4" s="2">
        <f>IF(L4&gt;100,0,L4)</f>
        <v>0</v>
      </c>
      <c r="P4" s="249" t="s">
        <v>18</v>
      </c>
      <c r="Q4" s="252"/>
      <c r="R4" s="225">
        <f>F18</f>
        <v>0</v>
      </c>
      <c r="S4" s="226"/>
      <c r="T4" s="1" t="s">
        <v>19</v>
      </c>
      <c r="U4" s="1" t="s">
        <v>20</v>
      </c>
      <c r="V4" s="1">
        <v>0</v>
      </c>
      <c r="AB4"/>
      <c r="AC4" s="25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U4" s="4">
        <v>2024</v>
      </c>
      <c r="AV4" s="4">
        <v>14600</v>
      </c>
      <c r="AW4" s="4">
        <v>29200</v>
      </c>
      <c r="AX4" s="4">
        <v>14600</v>
      </c>
      <c r="AY4" s="4">
        <v>21900</v>
      </c>
      <c r="BA4" s="231" t="s">
        <v>21</v>
      </c>
      <c r="BB4" s="231"/>
      <c r="BC4" s="231"/>
      <c r="BD4" s="21">
        <f>MIN(AR31,AR32)+MIN(AR31,AS32)</f>
        <v>0</v>
      </c>
      <c r="BE4" s="12"/>
      <c r="BF4" s="12"/>
      <c r="BG4" s="12"/>
      <c r="BH4" s="3"/>
      <c r="BI4" s="3"/>
      <c r="BJ4" s="3"/>
      <c r="BK4" s="3"/>
      <c r="BL4" s="3"/>
      <c r="BM4" s="5"/>
      <c r="BN4" s="6">
        <v>0.1</v>
      </c>
    </row>
    <row r="5" spans="1:66" ht="20.100000000000001" customHeight="1" x14ac:dyDescent="0.25">
      <c r="A5" s="22" t="s">
        <v>22</v>
      </c>
      <c r="B5" s="172">
        <f>O4</f>
        <v>0</v>
      </c>
      <c r="C5" s="23"/>
      <c r="D5" s="259" t="s">
        <v>23</v>
      </c>
      <c r="E5" s="260"/>
      <c r="F5" s="26" t="s">
        <v>0</v>
      </c>
      <c r="G5" s="27" t="s">
        <v>24</v>
      </c>
      <c r="H5" s="28">
        <f>IF(G5="Jan",12,IF(G5="Feb",11,IF(G5="Mar",10,IF(G5="Apr",9,IF(G5="May",8,IF(G5="June",7,IF(G5="July",6,IF(G5="Aug",5,IF(G5="Sep",4,IF(G5="Oct",3,IF(G5="Nov",2,IF(G5="Dec",1,""))))))))))))</f>
        <v>8</v>
      </c>
      <c r="P5" s="3" t="s">
        <v>25</v>
      </c>
      <c r="T5" s="1" t="s">
        <v>26</v>
      </c>
      <c r="U5" s="1" t="s">
        <v>27</v>
      </c>
      <c r="V5" s="29">
        <f>F18</f>
        <v>0</v>
      </c>
      <c r="AB5"/>
      <c r="AC5" s="30" t="s">
        <v>28</v>
      </c>
      <c r="AD5" s="261" t="str">
        <f>F5</f>
        <v>Single</v>
      </c>
      <c r="AE5" s="262"/>
      <c r="AF5" s="31" t="s">
        <v>29</v>
      </c>
      <c r="AG5" s="31">
        <f>F2</f>
        <v>2025</v>
      </c>
      <c r="AH5"/>
      <c r="AI5"/>
      <c r="AJ5"/>
      <c r="AK5"/>
      <c r="AL5"/>
      <c r="AM5"/>
      <c r="AN5"/>
      <c r="AO5"/>
      <c r="AP5" t="s">
        <v>30</v>
      </c>
      <c r="AQ5"/>
      <c r="BA5" s="231" t="s">
        <v>31</v>
      </c>
      <c r="BB5" s="231"/>
      <c r="BC5" s="231"/>
      <c r="BD5" s="32"/>
      <c r="BE5" s="12"/>
      <c r="BF5" s="12"/>
      <c r="BG5" s="12"/>
      <c r="BH5" s="3"/>
      <c r="BI5" s="3"/>
      <c r="BJ5" s="3"/>
      <c r="BK5" s="3"/>
      <c r="BL5" s="3"/>
      <c r="BM5" s="5"/>
      <c r="BN5" s="6">
        <v>0.12</v>
      </c>
    </row>
    <row r="6" spans="1:66" ht="27.75" customHeight="1" thickBot="1" x14ac:dyDescent="0.3">
      <c r="A6" s="33" t="s">
        <v>32</v>
      </c>
      <c r="B6" s="34"/>
      <c r="C6" s="35" t="s">
        <v>33</v>
      </c>
      <c r="D6" s="257" t="s">
        <v>34</v>
      </c>
      <c r="E6" s="258"/>
      <c r="F6" s="35" t="s">
        <v>35</v>
      </c>
      <c r="G6" s="36" t="s">
        <v>36</v>
      </c>
      <c r="K6" s="37" t="s">
        <v>37</v>
      </c>
      <c r="L6" s="38"/>
      <c r="P6" s="249" t="s">
        <v>38</v>
      </c>
      <c r="Q6" s="252"/>
      <c r="R6" s="225">
        <f>IF(F47&lt;0,0,F47)</f>
        <v>0</v>
      </c>
      <c r="S6" s="226"/>
      <c r="T6" s="1" t="s">
        <v>39</v>
      </c>
      <c r="U6" s="1" t="s">
        <v>40</v>
      </c>
      <c r="V6" s="1">
        <f>IF(F5="Single",197300,IF(F5="MFJ",394600,IF(F5="MFS",197300,IF(F5="HH",197300,13850))))</f>
        <v>197300</v>
      </c>
      <c r="AB6"/>
      <c r="AC6"/>
      <c r="AD6"/>
      <c r="AE6"/>
      <c r="AF6"/>
      <c r="AG6"/>
      <c r="AH6"/>
      <c r="AI6"/>
      <c r="AJ6"/>
      <c r="AK6" s="2"/>
      <c r="AL6" s="2"/>
      <c r="AM6"/>
      <c r="AN6"/>
      <c r="AO6"/>
      <c r="AP6"/>
      <c r="AQ6"/>
      <c r="BA6" s="231" t="s">
        <v>41</v>
      </c>
      <c r="BB6" s="231"/>
      <c r="BC6" s="231"/>
      <c r="BD6" s="21">
        <f>F56</f>
        <v>0</v>
      </c>
      <c r="BE6" s="12"/>
      <c r="BF6" s="12"/>
      <c r="BG6" s="12"/>
      <c r="BH6" s="3"/>
      <c r="BI6" s="3"/>
      <c r="BJ6" s="3"/>
      <c r="BK6" s="3"/>
      <c r="BL6" s="3"/>
      <c r="BM6" s="5"/>
      <c r="BN6" s="6">
        <v>0.22</v>
      </c>
    </row>
    <row r="7" spans="1:66" ht="20.100000000000001" customHeight="1" thickBot="1" x14ac:dyDescent="0.3">
      <c r="A7" s="200" t="s">
        <v>42</v>
      </c>
      <c r="B7" s="201"/>
      <c r="C7" s="40"/>
      <c r="D7" s="227" t="s">
        <v>43</v>
      </c>
      <c r="E7" s="242"/>
      <c r="F7" s="41"/>
      <c r="G7" s="42">
        <f>C7*$H$5</f>
        <v>0</v>
      </c>
      <c r="K7" s="43" t="s">
        <v>44</v>
      </c>
      <c r="L7" s="44" t="s">
        <v>45</v>
      </c>
      <c r="T7" s="1" t="s">
        <v>46</v>
      </c>
      <c r="U7" s="1" t="s">
        <v>47</v>
      </c>
      <c r="V7" s="1">
        <f>IF(F5="Single",247300,IF(F5="MFJ",494600,IF(F5="MFS",247300,IF(F5="HH",247300,13850))))</f>
        <v>247300</v>
      </c>
      <c r="W7" s="45"/>
      <c r="AB7"/>
      <c r="AC7" s="46" t="s">
        <v>48</v>
      </c>
      <c r="AD7" s="46" t="s">
        <v>49</v>
      </c>
      <c r="AE7" s="46" t="s">
        <v>50</v>
      </c>
      <c r="AF7" s="46" t="s">
        <v>51</v>
      </c>
      <c r="AG7" s="46" t="s">
        <v>52</v>
      </c>
      <c r="AH7"/>
      <c r="AI7" s="47" t="s">
        <v>53</v>
      </c>
      <c r="AJ7" s="48" cm="1">
        <f t="array" ref="AJ7:AK7">'IRS Tax Estimator'!R6:S6</f>
        <v>0</v>
      </c>
      <c r="AK7" s="2">
        <v>0</v>
      </c>
      <c r="AL7" s="2"/>
      <c r="AM7"/>
      <c r="AN7"/>
      <c r="AO7"/>
      <c r="AP7" s="49" t="s">
        <v>51</v>
      </c>
      <c r="AQ7"/>
      <c r="AS7"/>
      <c r="BA7" s="231" t="s">
        <v>54</v>
      </c>
      <c r="BB7" s="231"/>
      <c r="BC7" s="231"/>
      <c r="BD7" s="21">
        <f>BD3-SUM(BD4:BD6)</f>
        <v>0</v>
      </c>
      <c r="BE7" s="12"/>
      <c r="BF7" s="12"/>
      <c r="BG7" s="12"/>
      <c r="BH7" s="3"/>
      <c r="BI7" s="3"/>
      <c r="BJ7" s="3"/>
      <c r="BK7" s="3"/>
      <c r="BL7" s="3"/>
      <c r="BM7" s="5"/>
      <c r="BN7" s="6">
        <v>0.24</v>
      </c>
    </row>
    <row r="8" spans="1:66" ht="20.100000000000001" customHeight="1" thickBot="1" x14ac:dyDescent="0.3">
      <c r="A8" s="200" t="s">
        <v>55</v>
      </c>
      <c r="B8" s="201"/>
      <c r="C8" s="40"/>
      <c r="D8" s="227" t="s">
        <v>56</v>
      </c>
      <c r="E8" s="242"/>
      <c r="F8" s="41"/>
      <c r="G8" s="42">
        <f>C8*$H$5</f>
        <v>0</v>
      </c>
      <c r="K8" s="43" t="s">
        <v>1</v>
      </c>
      <c r="L8" s="50">
        <v>250000</v>
      </c>
      <c r="P8" s="249" t="s">
        <v>57</v>
      </c>
      <c r="Q8" s="252"/>
      <c r="R8" s="225">
        <f>F56</f>
        <v>0</v>
      </c>
      <c r="S8" s="226"/>
      <c r="T8" s="1" t="s">
        <v>58</v>
      </c>
      <c r="U8" s="1" t="s">
        <v>59</v>
      </c>
      <c r="V8" s="1">
        <f>V7-V6</f>
        <v>50000</v>
      </c>
      <c r="AB8"/>
      <c r="AC8" s="48" cm="1">
        <f t="array" ref="AC8:AE14">_xlfn.CHOOSECOLS(_xlfn._xlws.FILTER(tax_table,_xlfn.CHOOSECOLS(tax_table,-1)=F2),_xlfn.XMATCH(AD5,status_list)*2,_xlfn.XMATCH(AD5,status_list)*2+1,1)</f>
        <v>0</v>
      </c>
      <c r="AD8" s="48">
        <v>11925</v>
      </c>
      <c r="AE8" s="51">
        <v>0.1</v>
      </c>
      <c r="AF8" s="48" cm="1">
        <f t="array" ref="AF8:AF14">_xlfn.LET(
  _xlpm.income,AJ7,
  _xlpm.upper,AD8:AD14,
  _xlpm.lower,_xlfn.DROP(_xlfn.VSTACK(0,_xlpm.upper),-1),
  IF(_xlpm.income&lt;=_xlpm.lower,0,
    IF(_xlpm.income&gt;_xlpm.upper,_xlpm.upper-_xlpm.lower,_xlpm.income-_xlpm.lower))
)</f>
        <v>0</v>
      </c>
      <c r="AG8" s="48" cm="1">
        <f t="array" ref="AG8:AG14">AE8:AE14*AF8:AF14</f>
        <v>0</v>
      </c>
      <c r="AH8"/>
      <c r="AI8" s="47" t="s">
        <v>52</v>
      </c>
      <c r="AJ8" s="48" cm="1">
        <f t="array" ref="AJ8">_xlfn.LET(
  _xlpm.income,AJ7,
  _xlpm.tax_rates, AE8:AE14,
  _xlpm.upper,AD8:AD14,
  _xlpm.lower,_xlfn.DROP(_xlfn.VSTACK(0,_xlpm.upper),-1),
  _xlpm.income_by_bracket,IF(_xlpm.income&lt;=_xlpm.lower,0,
    IF(_xlpm.income&gt;_xlpm.upper,_xlpm.upper-_xlpm.lower,_xlpm.income-_xlpm.lower)),
  _xlpm.tax_by_bracket,_xlpm.income_by_bracket*_xlpm.tax_rates,
  SUM(_xlpm.tax_by_bracket)
)</f>
        <v>0</v>
      </c>
      <c r="AK8" s="2"/>
      <c r="AL8" s="2"/>
      <c r="AM8"/>
      <c r="AN8"/>
      <c r="AO8"/>
      <c r="AP8" s="48" cm="1">
        <f t="array" ref="AP8:AP14">_xlfn.LET(
  _xlpm.income,AJ7,
  _xlpm.upper,AD8:AD14,
  _xlpm.lower,_xlfn.DROP(_xlfn.VSTACK(0,_xlpm.upper),-1),
  _xlfn.MAP(_xlpm.upper,_xlpm.lower,_xlfn.LAMBDA(_xlpm.a,_xlpm.b,
    IF(_xlpm.income&lt;=_xlpm.b,0,
      IF(_xlpm.income&gt;_xlpm.a,_xlpm.a-_xlpm.b,_xlpm.income-_xlpm.b))
  ))
)</f>
        <v>0</v>
      </c>
      <c r="AQ8"/>
      <c r="BA8" s="5"/>
      <c r="BB8" s="5"/>
      <c r="BC8" s="5"/>
      <c r="BD8" s="21"/>
      <c r="BE8" s="12"/>
      <c r="BF8" s="12"/>
      <c r="BG8" s="12"/>
      <c r="BH8" s="3"/>
      <c r="BI8" s="3"/>
      <c r="BJ8" s="3"/>
      <c r="BK8" s="3"/>
      <c r="BL8" s="3"/>
      <c r="BM8" s="5"/>
      <c r="BN8" s="6">
        <v>0.32</v>
      </c>
    </row>
    <row r="9" spans="1:66" ht="20.100000000000001" customHeight="1" thickBot="1" x14ac:dyDescent="0.3">
      <c r="A9" s="200" t="s">
        <v>60</v>
      </c>
      <c r="B9" s="201"/>
      <c r="C9" s="40"/>
      <c r="D9" s="227" t="s">
        <v>61</v>
      </c>
      <c r="E9" s="242">
        <v>0</v>
      </c>
      <c r="F9" s="41"/>
      <c r="G9" s="42">
        <f t="shared" ref="G9:G15" si="0">C9*$H$5</f>
        <v>0</v>
      </c>
      <c r="K9" s="43" t="s">
        <v>0</v>
      </c>
      <c r="L9" s="50">
        <v>200000</v>
      </c>
      <c r="O9" s="53"/>
      <c r="T9" s="54" t="s">
        <v>62</v>
      </c>
      <c r="U9" s="1" t="s">
        <v>63</v>
      </c>
      <c r="V9" s="1">
        <f>V5-V6</f>
        <v>-197300</v>
      </c>
      <c r="W9" s="54"/>
      <c r="X9" s="54"/>
      <c r="AB9"/>
      <c r="AC9" s="48">
        <v>11926</v>
      </c>
      <c r="AD9" s="48">
        <v>48475</v>
      </c>
      <c r="AE9" s="51">
        <v>0.12</v>
      </c>
      <c r="AF9" s="48">
        <v>0</v>
      </c>
      <c r="AG9" s="48">
        <v>0</v>
      </c>
      <c r="AH9"/>
      <c r="AI9" s="47" t="s">
        <v>64</v>
      </c>
      <c r="AJ9" s="55">
        <f>_xlfn.XLOOKUP(AJ7,AD8:AD14,AE8:AE14,,1)</f>
        <v>0.1</v>
      </c>
      <c r="AK9" s="2"/>
      <c r="AL9" s="56"/>
      <c r="AM9"/>
      <c r="AN9"/>
      <c r="AO9"/>
      <c r="AP9" s="48">
        <v>0</v>
      </c>
      <c r="AQ9"/>
      <c r="AU9" s="1" t="s">
        <v>6</v>
      </c>
      <c r="BA9" s="5"/>
      <c r="BB9" s="5"/>
      <c r="BC9" s="5"/>
      <c r="BD9" s="21"/>
      <c r="BE9" s="12"/>
      <c r="BF9" s="12"/>
      <c r="BG9" s="12"/>
      <c r="BH9" s="3"/>
      <c r="BI9" s="3"/>
      <c r="BJ9" s="3"/>
      <c r="BK9" s="3"/>
      <c r="BL9" s="3"/>
      <c r="BM9" s="5"/>
      <c r="BN9" s="6">
        <v>0.35</v>
      </c>
    </row>
    <row r="10" spans="1:66" ht="20.100000000000001" customHeight="1" thickBot="1" x14ac:dyDescent="0.3">
      <c r="A10" s="200" t="s">
        <v>65</v>
      </c>
      <c r="B10" s="201"/>
      <c r="C10" s="40"/>
      <c r="D10" s="227" t="s">
        <v>171</v>
      </c>
      <c r="E10" s="242"/>
      <c r="F10" s="41"/>
      <c r="G10" s="42">
        <f t="shared" si="0"/>
        <v>0</v>
      </c>
      <c r="K10" s="43" t="s">
        <v>3</v>
      </c>
      <c r="L10" s="50">
        <v>200000</v>
      </c>
      <c r="O10" s="53"/>
      <c r="P10" s="249" t="s">
        <v>66</v>
      </c>
      <c r="Q10" s="252"/>
      <c r="R10" s="225">
        <f>F58</f>
        <v>0</v>
      </c>
      <c r="S10" s="226"/>
      <c r="T10" s="54" t="s">
        <v>67</v>
      </c>
      <c r="U10" s="1" t="s">
        <v>68</v>
      </c>
      <c r="V10" s="57">
        <f>V2*0.2</f>
        <v>0</v>
      </c>
      <c r="W10" s="54"/>
      <c r="X10" s="58">
        <f>V5-V6</f>
        <v>-197300</v>
      </c>
      <c r="AB10"/>
      <c r="AC10" s="48">
        <v>48476</v>
      </c>
      <c r="AD10" s="48">
        <v>103350</v>
      </c>
      <c r="AE10" s="51">
        <v>0.22</v>
      </c>
      <c r="AF10" s="48">
        <v>0</v>
      </c>
      <c r="AG10" s="48">
        <v>0</v>
      </c>
      <c r="AH10"/>
      <c r="AI10" s="47" t="s">
        <v>69</v>
      </c>
      <c r="AJ10" s="55" t="e">
        <f>AJ8/AJ7</f>
        <v>#DIV/0!</v>
      </c>
      <c r="AK10" s="2"/>
      <c r="AL10" s="2"/>
      <c r="AM10"/>
      <c r="AN10"/>
      <c r="AO10"/>
      <c r="AP10" s="48">
        <v>0</v>
      </c>
      <c r="AQ10"/>
      <c r="AU10" s="1" t="s">
        <v>70</v>
      </c>
      <c r="BA10" s="5"/>
      <c r="BB10" s="5"/>
      <c r="BC10" s="5"/>
      <c r="BD10" s="21"/>
      <c r="BE10" s="12"/>
      <c r="BF10" s="12"/>
      <c r="BG10" s="12"/>
      <c r="BH10" s="3"/>
      <c r="BI10" s="3"/>
      <c r="BJ10" s="3"/>
      <c r="BK10" s="3"/>
      <c r="BL10" s="3"/>
      <c r="BM10" s="5"/>
      <c r="BN10" s="6">
        <v>0.37</v>
      </c>
    </row>
    <row r="11" spans="1:66" ht="20.100000000000001" customHeight="1" thickBot="1" x14ac:dyDescent="0.3">
      <c r="A11" s="200" t="s">
        <v>71</v>
      </c>
      <c r="B11" s="201"/>
      <c r="C11" s="40"/>
      <c r="D11" s="227" t="s">
        <v>72</v>
      </c>
      <c r="E11" s="242"/>
      <c r="F11" s="41"/>
      <c r="G11" s="42">
        <f t="shared" si="0"/>
        <v>0</v>
      </c>
      <c r="K11" s="43" t="s">
        <v>73</v>
      </c>
      <c r="L11" s="50">
        <v>200000</v>
      </c>
      <c r="M11" s="164"/>
      <c r="O11" s="12"/>
      <c r="T11" s="45"/>
      <c r="U11" s="45"/>
      <c r="V11" s="45"/>
      <c r="X11" s="29">
        <f>X10/V8</f>
        <v>-3.9460000000000002</v>
      </c>
      <c r="AB11"/>
      <c r="AC11" s="48">
        <v>103351</v>
      </c>
      <c r="AD11" s="48">
        <v>197300</v>
      </c>
      <c r="AE11" s="51">
        <v>0.24</v>
      </c>
      <c r="AF11" s="48">
        <v>0</v>
      </c>
      <c r="AG11" s="48">
        <v>0</v>
      </c>
      <c r="AH11"/>
      <c r="AI11"/>
      <c r="AJ11"/>
      <c r="AK11" s="2"/>
      <c r="AL11" s="3" t="s">
        <v>74</v>
      </c>
      <c r="AM11"/>
      <c r="AN11"/>
      <c r="AO11"/>
      <c r="AP11" s="48">
        <v>0</v>
      </c>
      <c r="AQ11"/>
      <c r="AU11" s="1" t="s">
        <v>75</v>
      </c>
      <c r="AV11" s="29">
        <f>C18</f>
        <v>0</v>
      </c>
      <c r="BA11" s="5"/>
      <c r="BB11" s="5"/>
      <c r="BC11" s="5"/>
      <c r="BD11" s="21"/>
      <c r="BE11" s="12"/>
      <c r="BF11" s="12"/>
      <c r="BG11" s="12"/>
      <c r="BH11" s="3"/>
      <c r="BI11" s="3"/>
      <c r="BJ11" s="3"/>
      <c r="BK11" s="3"/>
      <c r="BL11" s="3"/>
      <c r="BM11" s="5"/>
      <c r="BN11" s="6">
        <v>0.1</v>
      </c>
    </row>
    <row r="12" spans="1:66" ht="20.100000000000001" customHeight="1" thickBot="1" x14ac:dyDescent="0.3">
      <c r="A12" s="39" t="s">
        <v>76</v>
      </c>
      <c r="B12" s="59">
        <f>MAX(0, C12)</f>
        <v>0</v>
      </c>
      <c r="C12" s="40"/>
      <c r="D12" s="227" t="s">
        <v>77</v>
      </c>
      <c r="E12" s="242"/>
      <c r="F12" s="41"/>
      <c r="G12" s="42">
        <f t="shared" si="0"/>
        <v>0</v>
      </c>
      <c r="K12" s="43" t="s">
        <v>2</v>
      </c>
      <c r="L12" s="50">
        <v>125000</v>
      </c>
      <c r="O12" s="53"/>
      <c r="P12" s="249" t="s">
        <v>78</v>
      </c>
      <c r="Q12" s="252"/>
      <c r="R12" s="225">
        <f>F62+F60</f>
        <v>0</v>
      </c>
      <c r="S12" s="226"/>
      <c r="T12" s="45"/>
      <c r="U12" s="45" t="s">
        <v>79</v>
      </c>
      <c r="V12" s="45">
        <f>IF(V5&lt;=V6, 0.2*V2, IF(V5&gt;=V7, 0, MIN(0.2*V2, MAX(0.5*V3, (0.25*V3 + 0.025*V4))) * (V7-V5)/V8 ) )</f>
        <v>0</v>
      </c>
      <c r="X12" s="1">
        <f>V10*X11</f>
        <v>0</v>
      </c>
      <c r="AB12"/>
      <c r="AC12" s="48">
        <v>197301</v>
      </c>
      <c r="AD12" s="48">
        <v>250525</v>
      </c>
      <c r="AE12" s="51">
        <v>0.32</v>
      </c>
      <c r="AF12" s="48">
        <v>0</v>
      </c>
      <c r="AG12" s="48">
        <v>0</v>
      </c>
      <c r="AH12"/>
      <c r="AI12" s="60"/>
      <c r="AJ12"/>
      <c r="AK12" s="2"/>
      <c r="AL12" s="3">
        <v>2024</v>
      </c>
      <c r="AM12"/>
      <c r="AN12"/>
      <c r="AO12"/>
      <c r="AP12" s="48">
        <v>0</v>
      </c>
      <c r="AQ12"/>
      <c r="AU12" s="1" t="s">
        <v>80</v>
      </c>
      <c r="BA12" s="5"/>
      <c r="BB12" s="5"/>
      <c r="BC12" s="5"/>
      <c r="BD12" s="21"/>
      <c r="BE12" s="12"/>
      <c r="BF12" s="12"/>
      <c r="BG12" s="12"/>
      <c r="BH12" s="3"/>
      <c r="BI12" s="3"/>
      <c r="BJ12" s="3"/>
      <c r="BK12" s="3"/>
      <c r="BL12" s="3"/>
      <c r="BM12" s="5"/>
      <c r="BN12" s="6">
        <v>0.12</v>
      </c>
    </row>
    <row r="13" spans="1:66" ht="20.100000000000001" customHeight="1" x14ac:dyDescent="0.25">
      <c r="A13" s="39" t="s">
        <v>81</v>
      </c>
      <c r="B13" s="59">
        <f>MAX(0, C13)</f>
        <v>0</v>
      </c>
      <c r="C13" s="40"/>
      <c r="D13" s="227" t="s">
        <v>82</v>
      </c>
      <c r="E13" s="242"/>
      <c r="F13" s="41"/>
      <c r="G13" s="42">
        <f t="shared" si="0"/>
        <v>0</v>
      </c>
      <c r="K13" s="5"/>
      <c r="L13" s="3"/>
      <c r="O13" s="12"/>
      <c r="T13" s="45"/>
      <c r="U13" s="45" t="s">
        <v>79</v>
      </c>
      <c r="V13" s="61" t="s">
        <v>83</v>
      </c>
      <c r="AB13"/>
      <c r="AC13" s="48">
        <v>250526</v>
      </c>
      <c r="AD13" s="48">
        <v>626350</v>
      </c>
      <c r="AE13" s="51">
        <v>0.35</v>
      </c>
      <c r="AF13" s="48">
        <v>0</v>
      </c>
      <c r="AG13" s="48">
        <v>0</v>
      </c>
      <c r="AH13"/>
      <c r="AI13" s="60"/>
      <c r="AJ13"/>
      <c r="AK13" s="2"/>
      <c r="AL13" s="3">
        <v>2025</v>
      </c>
      <c r="AM13"/>
      <c r="AN13"/>
      <c r="AO13"/>
      <c r="AP13" s="48">
        <v>0</v>
      </c>
      <c r="AQ13"/>
      <c r="AU13" s="1" t="s">
        <v>84</v>
      </c>
      <c r="AV13" s="62">
        <f>E16*0.5</f>
        <v>0</v>
      </c>
      <c r="BA13" s="5"/>
      <c r="BB13" s="5"/>
      <c r="BC13" s="5"/>
      <c r="BD13" s="21"/>
      <c r="BE13" s="12"/>
      <c r="BF13" s="12"/>
      <c r="BG13" s="12"/>
      <c r="BH13" s="3"/>
      <c r="BI13" s="3"/>
      <c r="BJ13" s="3"/>
      <c r="BK13" s="3"/>
      <c r="BL13" s="3"/>
      <c r="BM13" s="5"/>
      <c r="BN13" s="6">
        <v>0.22</v>
      </c>
    </row>
    <row r="14" spans="1:66" ht="20.100000000000001" customHeight="1" x14ac:dyDescent="0.35">
      <c r="A14" s="200" t="s">
        <v>85</v>
      </c>
      <c r="B14" s="201"/>
      <c r="C14" s="63"/>
      <c r="D14" s="227" t="s">
        <v>170</v>
      </c>
      <c r="E14" s="242">
        <v>0</v>
      </c>
      <c r="F14" s="41"/>
      <c r="G14" s="42">
        <f t="shared" si="0"/>
        <v>0</v>
      </c>
      <c r="K14" s="64">
        <f>C7+C8+C15+C16</f>
        <v>0</v>
      </c>
      <c r="L14" s="65">
        <f>VLOOKUP(F5,K7:L12,2,FALSE)</f>
        <v>200000</v>
      </c>
      <c r="O14" s="12"/>
      <c r="P14" s="253" t="str">
        <f>IF(R14&gt;0, "Tax Due", "Refund")</f>
        <v>Refund</v>
      </c>
      <c r="Q14" s="254"/>
      <c r="R14" s="255">
        <f>E64</f>
        <v>0</v>
      </c>
      <c r="S14" s="256"/>
      <c r="T14" s="45"/>
      <c r="U14" s="45"/>
      <c r="V14" s="45"/>
      <c r="AB14"/>
      <c r="AC14" s="48">
        <v>626350</v>
      </c>
      <c r="AD14" s="52" t="str">
        <v>and up</v>
      </c>
      <c r="AE14" s="51">
        <v>0.37</v>
      </c>
      <c r="AF14" s="48">
        <v>0</v>
      </c>
      <c r="AG14" s="48">
        <v>0</v>
      </c>
      <c r="AH14"/>
      <c r="AI14" s="66"/>
      <c r="AJ14"/>
      <c r="AK14"/>
      <c r="AL14" s="5">
        <v>2026</v>
      </c>
      <c r="AM14"/>
      <c r="AN14"/>
      <c r="AO14"/>
      <c r="AP14" s="48">
        <v>0</v>
      </c>
      <c r="AQ14"/>
      <c r="AU14" s="1" t="s">
        <v>70</v>
      </c>
      <c r="AV14" s="67">
        <f>AV11+AV12+AV13</f>
        <v>0</v>
      </c>
      <c r="AW14" s="68"/>
      <c r="BA14" s="5"/>
      <c r="BB14" s="5"/>
      <c r="BC14" s="5"/>
      <c r="BD14" s="21"/>
      <c r="BE14" s="12"/>
      <c r="BF14" s="12"/>
      <c r="BG14" s="12"/>
      <c r="BH14" s="3"/>
      <c r="BI14" s="3"/>
      <c r="BJ14" s="3"/>
      <c r="BK14" s="3"/>
      <c r="BL14" s="3"/>
      <c r="BM14" s="5"/>
      <c r="BN14" s="6">
        <v>0.24</v>
      </c>
    </row>
    <row r="15" spans="1:66" ht="20.100000000000001" customHeight="1" x14ac:dyDescent="0.25">
      <c r="A15" s="200" t="s">
        <v>86</v>
      </c>
      <c r="B15" s="201"/>
      <c r="C15" s="63"/>
      <c r="D15" s="227" t="s">
        <v>172</v>
      </c>
      <c r="E15" s="242">
        <v>0</v>
      </c>
      <c r="F15" s="41"/>
      <c r="G15" s="42">
        <f t="shared" si="0"/>
        <v>0</v>
      </c>
      <c r="K15" s="69">
        <f>K14-L14</f>
        <v>-200000</v>
      </c>
      <c r="L15" s="3">
        <f>IF(K15&gt;0,K15*0.009,0)</f>
        <v>0</v>
      </c>
      <c r="O15" s="12"/>
      <c r="T15" s="45"/>
      <c r="U15" t="s">
        <v>87</v>
      </c>
      <c r="V15" s="70">
        <f>V5-V6</f>
        <v>-197300</v>
      </c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U15" s="71">
        <f>IF(AD5="Single",
    IF(AV14&lt;=25000, 0, IF(AV14&lt;=34000, 50%, 85%)),
    IF(AD5="HH",
        IF(AV14&lt;=25000, 0, IF(AV14&lt;=34000, 50%, 85%)),
        IF(AD5="MFJ",
            IF(AV14&lt;=32000, 0, IF(AV14&lt;=44000, 50%, 85%)),
            IF(AD5="MFS",
                IF(AV14&gt;0, 85%, 0),
                "Invalid Status"
            )
        )
    )
)</f>
        <v>0</v>
      </c>
      <c r="BA15" s="5"/>
      <c r="BB15" s="5"/>
      <c r="BC15" s="5"/>
      <c r="BD15" s="21"/>
      <c r="BE15" s="12"/>
      <c r="BF15" s="12"/>
      <c r="BG15" s="12"/>
      <c r="BH15" s="3"/>
      <c r="BI15" s="3"/>
      <c r="BJ15" s="3"/>
      <c r="BK15" s="3"/>
      <c r="BL15" s="3"/>
      <c r="BM15" s="5"/>
      <c r="BN15" s="6">
        <v>0.32</v>
      </c>
    </row>
    <row r="16" spans="1:66" ht="20.100000000000001" customHeight="1" x14ac:dyDescent="0.25">
      <c r="A16" s="200" t="s">
        <v>88</v>
      </c>
      <c r="B16" s="201"/>
      <c r="C16" s="72"/>
      <c r="D16" s="73" t="s">
        <v>89</v>
      </c>
      <c r="E16" s="74"/>
      <c r="F16" s="75">
        <f>E16*AU15</f>
        <v>0</v>
      </c>
      <c r="G16" s="42">
        <f>C16*$H$5</f>
        <v>0</v>
      </c>
      <c r="H16" s="1" t="s">
        <v>90</v>
      </c>
      <c r="K16" s="5"/>
      <c r="L16" s="3"/>
      <c r="O16" s="53"/>
      <c r="P16" s="246" t="s">
        <v>91</v>
      </c>
      <c r="Q16" s="247"/>
      <c r="R16" s="247"/>
      <c r="S16" s="248"/>
      <c r="T16" s="45"/>
      <c r="U16" t="s">
        <v>92</v>
      </c>
      <c r="V16" s="61">
        <f>V15/V8</f>
        <v>-3.9460000000000002</v>
      </c>
      <c r="AB16"/>
      <c r="AC16" s="249" t="s">
        <v>93</v>
      </c>
      <c r="AD16" s="250"/>
      <c r="AE16" s="251"/>
      <c r="AF16" s="76">
        <f>SUM(AF8:AF14)</f>
        <v>0</v>
      </c>
      <c r="AG16" s="77">
        <f>SUM(AG8:AG14)</f>
        <v>0</v>
      </c>
      <c r="AH16"/>
      <c r="AI16"/>
      <c r="AJ16"/>
      <c r="AK16"/>
      <c r="AL16"/>
      <c r="AM16"/>
      <c r="AN16"/>
      <c r="AO16"/>
      <c r="AP16"/>
      <c r="AQ16"/>
      <c r="AU16" s="78"/>
      <c r="BA16" s="5"/>
      <c r="BB16" s="5"/>
      <c r="BC16" s="5"/>
      <c r="BD16" s="5"/>
      <c r="BE16" s="12"/>
      <c r="BF16" s="12"/>
      <c r="BG16" s="12"/>
      <c r="BH16" s="3"/>
      <c r="BI16" s="3"/>
      <c r="BJ16" s="3"/>
      <c r="BK16" s="3"/>
      <c r="BL16" s="3"/>
      <c r="BM16" s="5"/>
      <c r="BN16" s="6">
        <v>0.35</v>
      </c>
    </row>
    <row r="17" spans="1:66" ht="20.100000000000001" customHeight="1" x14ac:dyDescent="0.25">
      <c r="A17" s="200" t="s">
        <v>94</v>
      </c>
      <c r="B17" s="201"/>
      <c r="C17" s="40"/>
      <c r="D17" s="227" t="s">
        <v>95</v>
      </c>
      <c r="E17" s="242"/>
      <c r="F17" s="41"/>
      <c r="G17" s="79"/>
      <c r="K17" s="5"/>
      <c r="L17" s="3"/>
      <c r="O17" s="53"/>
      <c r="T17" s="45"/>
      <c r="U17"/>
      <c r="V17" s="61"/>
      <c r="AB17"/>
      <c r="AC17" s="3"/>
      <c r="AD17" s="3"/>
      <c r="AE17" s="3"/>
      <c r="AF17" s="80"/>
      <c r="AG17" s="80"/>
      <c r="AH17"/>
      <c r="AI17"/>
      <c r="AJ17"/>
      <c r="AK17"/>
      <c r="AL17"/>
      <c r="AM17"/>
      <c r="AN17"/>
      <c r="AO17"/>
      <c r="AP17"/>
      <c r="AQ17"/>
      <c r="AU17" s="78"/>
      <c r="BA17" s="243" t="s">
        <v>96</v>
      </c>
      <c r="BB17" s="243"/>
      <c r="BC17" s="243"/>
      <c r="BD17" s="243"/>
      <c r="BE17" s="12"/>
      <c r="BF17" s="12"/>
      <c r="BG17" s="12"/>
      <c r="BH17" s="3"/>
      <c r="BI17" s="3"/>
      <c r="BJ17" s="3"/>
      <c r="BK17" s="3"/>
      <c r="BL17" s="3"/>
      <c r="BM17" s="5"/>
      <c r="BN17" s="6">
        <v>0.37</v>
      </c>
    </row>
    <row r="18" spans="1:66" ht="20.100000000000001" customHeight="1" x14ac:dyDescent="0.25">
      <c r="A18" s="200" t="s">
        <v>97</v>
      </c>
      <c r="B18" s="201"/>
      <c r="C18" s="81">
        <f>SUM(C7:C17)-C12-C13</f>
        <v>0</v>
      </c>
      <c r="D18" s="244" t="s">
        <v>98</v>
      </c>
      <c r="E18" s="245">
        <f>SUM(E12:E16)</f>
        <v>0</v>
      </c>
      <c r="F18" s="81">
        <f>C18-SUM(F13:F15)-(F52/2)+F16+F21</f>
        <v>0</v>
      </c>
      <c r="G18" s="82">
        <f>SUM(G7:G16)</f>
        <v>0</v>
      </c>
      <c r="H18" s="1" t="s">
        <v>99</v>
      </c>
      <c r="K18" s="5"/>
      <c r="L18" s="3"/>
      <c r="O18" s="12"/>
      <c r="P18" s="200" t="s">
        <v>100</v>
      </c>
      <c r="Q18" s="237"/>
      <c r="R18" s="238"/>
      <c r="S18" s="239"/>
      <c r="T18" s="45"/>
      <c r="U18" t="s">
        <v>101</v>
      </c>
      <c r="V18" s="70">
        <f>1-V16</f>
        <v>4.9459999999999997</v>
      </c>
      <c r="AB18"/>
      <c r="AC18" s="200" t="s">
        <v>64</v>
      </c>
      <c r="AD18" s="201"/>
      <c r="AE18" s="83">
        <f>AJ9</f>
        <v>0.1</v>
      </c>
      <c r="AF18" s="4" t="s">
        <v>69</v>
      </c>
      <c r="AG18" s="84" t="e">
        <f>AJ10</f>
        <v>#DIV/0!</v>
      </c>
      <c r="AN18"/>
      <c r="AO18"/>
      <c r="AP18"/>
      <c r="AQ18"/>
      <c r="AU18" s="3" t="s">
        <v>102</v>
      </c>
      <c r="BA18" s="204" t="s">
        <v>103</v>
      </c>
      <c r="BB18" s="204"/>
      <c r="BC18" s="204"/>
      <c r="BD18" s="32"/>
      <c r="BE18" s="12"/>
      <c r="BF18" s="12"/>
      <c r="BG18" s="12"/>
      <c r="BH18" s="3"/>
      <c r="BI18" s="3"/>
      <c r="BJ18" s="3"/>
      <c r="BK18" s="3"/>
      <c r="BL18" s="3"/>
      <c r="BM18" s="5"/>
      <c r="BN18" s="6">
        <v>0.37</v>
      </c>
    </row>
    <row r="19" spans="1:66" ht="20.100000000000001" customHeight="1" x14ac:dyDescent="0.25">
      <c r="A19" s="223" t="s">
        <v>173</v>
      </c>
      <c r="B19" s="224"/>
      <c r="C19" s="224"/>
      <c r="D19" s="224"/>
      <c r="E19" s="224"/>
      <c r="F19" s="235"/>
      <c r="G19" s="85"/>
      <c r="K19" s="5"/>
      <c r="L19" s="3"/>
      <c r="O19" s="12"/>
      <c r="T19" s="45"/>
      <c r="U19"/>
      <c r="V19" s="70"/>
      <c r="AB19"/>
      <c r="AC19" s="3"/>
      <c r="AD19" s="3"/>
      <c r="AE19" s="3"/>
      <c r="AF19" s="80"/>
      <c r="AG19" s="80"/>
      <c r="AN19"/>
      <c r="AO19"/>
      <c r="AP19"/>
      <c r="AQ19"/>
      <c r="AU19" s="3"/>
      <c r="BA19" s="204" t="s">
        <v>104</v>
      </c>
      <c r="BB19" s="204"/>
      <c r="BC19" s="204"/>
      <c r="BD19" s="32"/>
      <c r="BE19" s="12"/>
      <c r="BF19" s="12"/>
      <c r="BG19" s="12"/>
      <c r="BH19" s="3"/>
      <c r="BI19" s="3"/>
      <c r="BJ19" s="3"/>
      <c r="BK19" s="3"/>
      <c r="BL19" s="3"/>
      <c r="BM19" s="5"/>
      <c r="BN19" s="86"/>
    </row>
    <row r="20" spans="1:66" ht="20.100000000000001" hidden="1" customHeight="1" x14ac:dyDescent="0.25">
      <c r="A20" s="219" t="s">
        <v>105</v>
      </c>
      <c r="B20" s="236"/>
      <c r="C20" s="63">
        <f>B12</f>
        <v>0</v>
      </c>
      <c r="D20" s="87" t="s">
        <v>106</v>
      </c>
      <c r="E20" s="63">
        <f>B13</f>
        <v>0</v>
      </c>
      <c r="F20" s="88"/>
      <c r="G20" s="85"/>
      <c r="K20" s="5"/>
      <c r="L20" s="3"/>
      <c r="O20" s="12"/>
      <c r="T20" s="45"/>
      <c r="U20"/>
      <c r="V20" s="70"/>
      <c r="AB20"/>
      <c r="AC20" s="3"/>
      <c r="AD20" s="3"/>
      <c r="AE20" s="3"/>
      <c r="AF20" s="80"/>
      <c r="AG20" s="80"/>
      <c r="AN20"/>
      <c r="AO20"/>
      <c r="AP20"/>
      <c r="AQ20"/>
      <c r="AU20" s="3"/>
      <c r="BA20" s="204" t="s">
        <v>107</v>
      </c>
      <c r="BB20" s="204"/>
      <c r="BC20" s="204"/>
      <c r="BD20" s="32"/>
      <c r="BE20" s="12"/>
      <c r="BF20" s="12"/>
      <c r="BG20" s="12"/>
      <c r="BH20" s="3"/>
      <c r="BI20" s="3"/>
      <c r="BJ20" s="3"/>
      <c r="BK20" s="3"/>
      <c r="BL20" s="3"/>
      <c r="BM20" s="5"/>
      <c r="BN20" s="86"/>
    </row>
    <row r="21" spans="1:66" ht="16.5" customHeight="1" x14ac:dyDescent="0.25">
      <c r="A21" s="219" t="s">
        <v>108</v>
      </c>
      <c r="B21" s="236"/>
      <c r="C21" s="63"/>
      <c r="D21" s="87" t="s">
        <v>109</v>
      </c>
      <c r="E21" s="63"/>
      <c r="F21" s="88">
        <f>MAX(-3000,(C20+E20+C21+E21))</f>
        <v>0</v>
      </c>
      <c r="G21" s="85"/>
      <c r="O21" s="12"/>
      <c r="P21" s="200" t="s">
        <v>110</v>
      </c>
      <c r="Q21" s="237"/>
      <c r="R21" s="238"/>
      <c r="S21" s="239"/>
      <c r="T21" s="45"/>
      <c r="U21" t="s">
        <v>111</v>
      </c>
      <c r="V21" s="61">
        <f>MAX(0, MIN(1, V18))</f>
        <v>1</v>
      </c>
      <c r="AB21"/>
      <c r="AC21" s="89" t="s">
        <v>112</v>
      </c>
      <c r="AD21" s="3"/>
      <c r="AE21" s="3"/>
      <c r="AF21" s="3"/>
      <c r="AG21" s="3"/>
      <c r="AH21" s="90"/>
      <c r="AI21" s="3"/>
      <c r="AJ21" s="3"/>
      <c r="AK21" s="3"/>
      <c r="AL21" s="3"/>
      <c r="AM21" s="3"/>
      <c r="AN21" s="5"/>
      <c r="AO21" s="5"/>
      <c r="AP21" s="5"/>
      <c r="AQ21" s="5"/>
      <c r="AR21" s="3"/>
      <c r="AS21" s="3"/>
      <c r="AT21" s="3"/>
      <c r="AU21" s="3" cm="1">
        <f t="array" ref="AU21">_xlfn.IFS(F2=2024, 168600, F2=2025, 176100, F2=2026, 184500, TRUE, "")</f>
        <v>176100</v>
      </c>
      <c r="AV21" s="3"/>
      <c r="AW21" s="3"/>
      <c r="AX21" s="3"/>
      <c r="AY21" s="3"/>
      <c r="AZ21" s="3"/>
      <c r="BA21" s="204" t="s">
        <v>113</v>
      </c>
      <c r="BB21" s="204"/>
      <c r="BC21" s="204"/>
      <c r="BD21" s="32"/>
      <c r="BE21" s="12"/>
      <c r="BF21" s="12"/>
      <c r="BG21" s="12"/>
      <c r="BH21" s="3"/>
      <c r="BI21" s="3"/>
      <c r="BJ21" s="3"/>
      <c r="BK21" s="3"/>
      <c r="BL21" s="3"/>
      <c r="BM21" s="3"/>
      <c r="BN21" s="1"/>
    </row>
    <row r="22" spans="1:66" ht="20.100000000000001" hidden="1" customHeight="1" x14ac:dyDescent="0.25">
      <c r="A22" s="227" t="s">
        <v>114</v>
      </c>
      <c r="B22" s="240"/>
      <c r="C22" s="241"/>
      <c r="D22" s="241"/>
      <c r="E22" s="242"/>
      <c r="F22" s="91">
        <f>IF(L23=150000, M27, IF(L23=75000, M23, 0))</f>
        <v>0</v>
      </c>
      <c r="G22" s="85"/>
      <c r="O22" s="12"/>
      <c r="Q22" s="65"/>
      <c r="R22" s="65"/>
      <c r="S22" s="3"/>
      <c r="T22" s="45"/>
      <c r="U22" s="45"/>
      <c r="V22" s="70">
        <f>E45</f>
        <v>0</v>
      </c>
      <c r="AB22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5"/>
      <c r="AO22" s="5"/>
      <c r="AP22" s="5"/>
      <c r="AQ22" s="5"/>
      <c r="AR22" s="3"/>
      <c r="AS22" s="3"/>
      <c r="AT22" s="3"/>
      <c r="AU22" s="3"/>
      <c r="AV22" s="3"/>
      <c r="AW22" s="3"/>
      <c r="AX22" s="3"/>
      <c r="AY22" s="3"/>
      <c r="AZ22" s="3"/>
      <c r="BA22" s="204" t="s">
        <v>115</v>
      </c>
      <c r="BB22" s="204"/>
      <c r="BC22" s="204"/>
      <c r="BD22" s="32"/>
      <c r="BE22" s="12"/>
      <c r="BF22" s="12"/>
      <c r="BG22" s="12"/>
      <c r="BH22" s="3"/>
      <c r="BI22" s="3"/>
      <c r="BJ22" s="3"/>
      <c r="BK22" s="3"/>
      <c r="BL22" s="3"/>
      <c r="BM22" s="3"/>
      <c r="BN22" s="1"/>
    </row>
    <row r="23" spans="1:66" ht="20.100000000000001" hidden="1" customHeight="1" x14ac:dyDescent="0.25">
      <c r="A23" s="92"/>
      <c r="B23" s="92"/>
      <c r="C23" s="92"/>
      <c r="D23" s="92"/>
      <c r="E23" s="92"/>
      <c r="F23" s="92"/>
      <c r="G23" s="85"/>
      <c r="L23" s="1">
        <f>IF(F5="Single",75000,IF(F5="MFJ",150000,IF(F5="MFS",75000,IF(F5="HH",75000,13850))))</f>
        <v>75000</v>
      </c>
      <c r="M23" s="3">
        <f>IF(O3&gt;=65, O12021, 0)</f>
        <v>0</v>
      </c>
      <c r="O23" s="12"/>
      <c r="P23" s="93"/>
      <c r="Q23" s="12"/>
      <c r="R23" s="94"/>
      <c r="S23" s="94"/>
      <c r="T23" s="45"/>
      <c r="U23" s="45"/>
      <c r="V23" s="70">
        <f>V22*V21</f>
        <v>0</v>
      </c>
      <c r="AB23"/>
      <c r="AC23" s="2" t="s">
        <v>116</v>
      </c>
      <c r="AD23" s="95" t="s">
        <v>117</v>
      </c>
      <c r="AE23" s="95"/>
      <c r="AF23" s="95" t="s">
        <v>118</v>
      </c>
      <c r="AG23" s="95"/>
      <c r="AH23" s="95" t="s">
        <v>119</v>
      </c>
      <c r="AI23" s="95"/>
      <c r="AJ23" s="95" t="s">
        <v>120</v>
      </c>
      <c r="AK23" s="95"/>
      <c r="AL23" s="95" t="s">
        <v>74</v>
      </c>
      <c r="AM23" s="3"/>
      <c r="AN23" s="5"/>
      <c r="AO23" s="5"/>
      <c r="AP23" s="5"/>
      <c r="AQ23" s="5"/>
      <c r="AR23" s="3"/>
      <c r="AS23" s="3"/>
      <c r="AT23" s="3"/>
      <c r="AU23" s="3"/>
      <c r="AV23" s="3"/>
      <c r="AW23" s="3"/>
      <c r="AX23" s="3"/>
      <c r="AY23" s="3"/>
      <c r="AZ23" s="3"/>
      <c r="BA23" s="204" t="s">
        <v>121</v>
      </c>
      <c r="BB23" s="204"/>
      <c r="BC23" s="204"/>
      <c r="BD23" s="32"/>
      <c r="BE23" s="12"/>
      <c r="BF23" s="12"/>
      <c r="BG23" s="12"/>
      <c r="BH23" s="3"/>
      <c r="BI23" s="3"/>
      <c r="BJ23" s="3"/>
      <c r="BK23" s="3"/>
      <c r="BL23" s="3"/>
      <c r="BM23" s="3"/>
      <c r="BN23" s="1"/>
    </row>
    <row r="24" spans="1:66" ht="20.100000000000001" hidden="1" customHeight="1" x14ac:dyDescent="0.25">
      <c r="A24" s="227" t="s">
        <v>122</v>
      </c>
      <c r="B24" s="240"/>
      <c r="C24" s="241"/>
      <c r="D24" s="241"/>
      <c r="E24" s="242"/>
      <c r="F24" s="91">
        <f>IF(F18 &lt; L23, L27, 0)</f>
        <v>0</v>
      </c>
      <c r="G24" s="85"/>
      <c r="L24" s="1">
        <f>IF(O3&gt;=65, 6000, 0)</f>
        <v>0</v>
      </c>
      <c r="M24" s="3">
        <f>IF(O3&gt;=65, 1600, 0)</f>
        <v>0</v>
      </c>
      <c r="O24" s="12"/>
      <c r="T24" s="45"/>
      <c r="U24" s="45"/>
      <c r="V24" s="45"/>
      <c r="AB24"/>
      <c r="AC24" s="96">
        <v>0.1</v>
      </c>
      <c r="AD24" s="97">
        <v>0</v>
      </c>
      <c r="AE24" s="97">
        <v>12400</v>
      </c>
      <c r="AF24" s="97">
        <v>0</v>
      </c>
      <c r="AG24" s="97">
        <v>24800</v>
      </c>
      <c r="AH24" s="97">
        <v>0</v>
      </c>
      <c r="AI24" s="97">
        <v>12400</v>
      </c>
      <c r="AJ24" s="97">
        <v>0</v>
      </c>
      <c r="AK24" s="97">
        <v>17700</v>
      </c>
      <c r="AL24" s="2">
        <v>2026</v>
      </c>
      <c r="AM24" s="3"/>
      <c r="AN24" s="5"/>
      <c r="AO24" s="98" t="s">
        <v>123</v>
      </c>
      <c r="AP24" s="5"/>
      <c r="AQ24" s="5"/>
      <c r="AR24" s="3"/>
      <c r="AS24" s="3"/>
      <c r="AT24" s="3"/>
      <c r="AU24" s="3"/>
      <c r="AV24" s="3"/>
      <c r="AW24" s="3"/>
      <c r="AX24" s="3"/>
      <c r="AY24" s="3"/>
      <c r="AZ24" s="3"/>
      <c r="BA24" s="204" t="s">
        <v>124</v>
      </c>
      <c r="BB24" s="204"/>
      <c r="BC24" s="204"/>
      <c r="BD24" s="32"/>
      <c r="BE24" s="12"/>
      <c r="BF24" s="12"/>
      <c r="BG24" s="12"/>
      <c r="BH24" s="3"/>
      <c r="BI24" s="3"/>
      <c r="BJ24" s="3"/>
      <c r="BK24" s="3"/>
      <c r="BL24" s="3"/>
      <c r="BM24" s="3"/>
      <c r="BN24" s="1"/>
    </row>
    <row r="25" spans="1:66" ht="15.6" customHeight="1" x14ac:dyDescent="0.25">
      <c r="A25" s="99"/>
      <c r="B25" s="99"/>
      <c r="C25" s="99"/>
      <c r="D25" s="99"/>
      <c r="E25" s="99"/>
      <c r="F25" s="99"/>
      <c r="G25" s="92"/>
      <c r="H25" s="1" t="s">
        <v>125</v>
      </c>
      <c r="L25" s="1">
        <f>IF(O4&gt;=65, 6000, 0)</f>
        <v>0</v>
      </c>
      <c r="M25" s="3">
        <f>IF(O4&gt;=65, 1600, 0)</f>
        <v>0</v>
      </c>
      <c r="O25" s="53"/>
      <c r="T25" s="45"/>
      <c r="U25" s="45"/>
      <c r="V25" s="45"/>
      <c r="AB25"/>
      <c r="AC25" s="96">
        <v>0.12</v>
      </c>
      <c r="AD25" s="97">
        <v>12401</v>
      </c>
      <c r="AE25" s="97">
        <v>50400</v>
      </c>
      <c r="AF25" s="97">
        <v>24801</v>
      </c>
      <c r="AG25" s="97">
        <v>100800</v>
      </c>
      <c r="AH25" s="97">
        <v>12401</v>
      </c>
      <c r="AI25" s="97">
        <v>50400</v>
      </c>
      <c r="AJ25" s="97">
        <v>17701</v>
      </c>
      <c r="AK25" s="97">
        <v>67450</v>
      </c>
      <c r="AL25" s="2">
        <v>2026</v>
      </c>
      <c r="AM25" s="3"/>
      <c r="AN25" s="5"/>
      <c r="AO25" s="100" t="s">
        <v>0</v>
      </c>
      <c r="AP25" s="5"/>
      <c r="AQ25" s="5"/>
      <c r="AR25" s="3"/>
      <c r="AS25" s="3"/>
      <c r="AT25" s="3"/>
      <c r="AU25" s="3"/>
      <c r="AV25" s="3"/>
      <c r="AW25" s="3"/>
      <c r="AX25" s="3"/>
      <c r="AY25" s="3"/>
      <c r="AZ25" s="3"/>
      <c r="BA25" s="204" t="s">
        <v>126</v>
      </c>
      <c r="BB25" s="204"/>
      <c r="BC25" s="204"/>
      <c r="BD25" s="32"/>
      <c r="BE25" s="12"/>
      <c r="BF25" s="12"/>
      <c r="BG25" s="12"/>
      <c r="BH25" s="3"/>
      <c r="BI25" s="3"/>
      <c r="BJ25" s="3"/>
      <c r="BK25" s="3"/>
      <c r="BL25" s="3"/>
      <c r="BM25" s="3"/>
      <c r="BN25" s="1"/>
    </row>
    <row r="26" spans="1:66" ht="16.5" customHeight="1" x14ac:dyDescent="0.25">
      <c r="A26" s="223" t="s">
        <v>127</v>
      </c>
      <c r="B26" s="224"/>
      <c r="C26" s="224"/>
      <c r="D26" s="224"/>
      <c r="E26" s="224"/>
      <c r="F26" s="101" t="s">
        <v>128</v>
      </c>
      <c r="G26" s="92"/>
      <c r="N26" s="102">
        <f>MAX(F28, F27)</f>
        <v>15750</v>
      </c>
      <c r="O26" s="53"/>
      <c r="P26" s="200" t="s">
        <v>129</v>
      </c>
      <c r="Q26" s="201"/>
      <c r="R26" s="225">
        <f>MIN(R8 * 0.9, R21 * IF(R18 &gt; R27, 1.1, 1))</f>
        <v>0</v>
      </c>
      <c r="S26" s="226"/>
      <c r="T26" s="45"/>
      <c r="U26" s="45"/>
      <c r="V26" s="45"/>
      <c r="AB26"/>
      <c r="AC26" s="96">
        <v>0.22</v>
      </c>
      <c r="AD26" s="97">
        <v>50401</v>
      </c>
      <c r="AE26" s="97">
        <v>105700</v>
      </c>
      <c r="AF26" s="97">
        <v>100801</v>
      </c>
      <c r="AG26" s="97">
        <v>211400</v>
      </c>
      <c r="AH26" s="97">
        <v>50401</v>
      </c>
      <c r="AI26" s="97">
        <v>105700</v>
      </c>
      <c r="AJ26" s="97">
        <v>67451</v>
      </c>
      <c r="AK26" s="97">
        <v>105700</v>
      </c>
      <c r="AL26" s="2">
        <v>2026</v>
      </c>
      <c r="AM26" s="3"/>
      <c r="AN26" s="5"/>
      <c r="AO26" s="100" t="s">
        <v>1</v>
      </c>
      <c r="AP26" s="5"/>
      <c r="AQ26" s="5"/>
      <c r="AR26" s="3"/>
      <c r="AS26" s="3"/>
      <c r="AT26" s="3"/>
      <c r="AU26" s="3"/>
      <c r="AV26" s="3"/>
      <c r="AW26" s="3"/>
      <c r="AX26" s="3"/>
      <c r="AY26" s="3"/>
      <c r="AZ26" s="3"/>
      <c r="BA26" s="204" t="s">
        <v>130</v>
      </c>
      <c r="BB26" s="204"/>
      <c r="BC26" s="204"/>
      <c r="BD26" s="32"/>
      <c r="BE26" s="12"/>
      <c r="BF26" s="12"/>
      <c r="BG26" s="12"/>
      <c r="BH26" s="3"/>
      <c r="BI26" s="3"/>
      <c r="BJ26" s="3"/>
      <c r="BK26" s="3"/>
      <c r="BL26" s="3"/>
      <c r="BM26" s="3"/>
      <c r="BN26" s="1"/>
    </row>
    <row r="27" spans="1:66" ht="15" customHeight="1" x14ac:dyDescent="0.25">
      <c r="A27" s="227" t="s">
        <v>131</v>
      </c>
      <c r="B27" s="228"/>
      <c r="C27" s="73" t="s">
        <v>132</v>
      </c>
      <c r="D27" s="73" t="s">
        <v>133</v>
      </c>
      <c r="E27" s="73" t="s">
        <v>134</v>
      </c>
      <c r="F27" s="91" cm="1">
        <f t="array" ref="F27">_xlfn.XLOOKUP(F2,AU:AU,INDEX(AV:AY,,MATCH(F5,AV1:AY1,0)))+F22+F24</f>
        <v>15750</v>
      </c>
      <c r="G27" s="103">
        <f>IF(G5="Single",15750,IF(G5="MFJ",31500,IF(G5="MFS",15750,IF(G5="HH",23625,13850))))+G22+G24</f>
        <v>13850</v>
      </c>
      <c r="H27" s="103">
        <f>IF(H5="Single",15750,IF(H5="MFJ",31500,IF(H5="MFS",15750,IF(H5="HH",23625,13850))))+H22+H24</f>
        <v>13850</v>
      </c>
      <c r="I27" s="91">
        <f>IF(F5="Single",197300,IF(F5="MFJ",394600,IF(F5="MFS",197300,IF(F5="HH",197300,13850))))</f>
        <v>197300</v>
      </c>
      <c r="L27" s="1">
        <f>L24+L25</f>
        <v>0</v>
      </c>
      <c r="M27" s="3">
        <f>M25+M24</f>
        <v>0</v>
      </c>
      <c r="N27" s="102"/>
      <c r="O27" s="104"/>
      <c r="R27" s="2">
        <f>IF(AD5="MFS", 75000, 150000)</f>
        <v>150000</v>
      </c>
      <c r="T27" s="104"/>
      <c r="U27" s="104"/>
      <c r="V27" s="104"/>
      <c r="W27" s="104"/>
      <c r="X27" s="104"/>
      <c r="Y27" s="104"/>
      <c r="Z27" s="104"/>
      <c r="AB27"/>
      <c r="AC27" s="96">
        <v>0.24</v>
      </c>
      <c r="AD27" s="97">
        <v>105701</v>
      </c>
      <c r="AE27" s="97">
        <v>201775</v>
      </c>
      <c r="AF27" s="97">
        <v>211401</v>
      </c>
      <c r="AG27" s="97">
        <v>403550</v>
      </c>
      <c r="AH27" s="97">
        <v>105701</v>
      </c>
      <c r="AI27" s="97">
        <v>201775</v>
      </c>
      <c r="AJ27" s="97">
        <v>105701</v>
      </c>
      <c r="AK27" s="97">
        <v>201750</v>
      </c>
      <c r="AL27" s="2">
        <v>2026</v>
      </c>
      <c r="AM27" s="3"/>
      <c r="AN27" s="5"/>
      <c r="AO27" s="100" t="s">
        <v>2</v>
      </c>
      <c r="AP27" s="5"/>
      <c r="AQ27" s="5"/>
      <c r="AR27" s="3"/>
      <c r="AS27" s="3"/>
      <c r="AT27" s="3"/>
      <c r="AU27" s="3"/>
      <c r="AV27" s="3"/>
      <c r="AW27" s="3"/>
      <c r="AX27" s="3"/>
      <c r="AY27" s="3"/>
      <c r="AZ27" s="3"/>
      <c r="BA27" s="204" t="s">
        <v>115</v>
      </c>
      <c r="BB27" s="204"/>
      <c r="BC27" s="204"/>
      <c r="BD27" s="32"/>
      <c r="BE27" s="12"/>
      <c r="BF27" s="12"/>
      <c r="BG27" s="12"/>
      <c r="BH27" s="3"/>
      <c r="BI27" s="3"/>
      <c r="BJ27" s="3"/>
      <c r="BK27" s="3"/>
      <c r="BL27" s="3"/>
      <c r="BM27" s="3"/>
      <c r="BN27" s="1"/>
    </row>
    <row r="28" spans="1:66" ht="15.6" customHeight="1" x14ac:dyDescent="0.25">
      <c r="A28" s="229"/>
      <c r="B28" s="230"/>
      <c r="C28" s="105"/>
      <c r="D28" s="105"/>
      <c r="E28" s="106">
        <v>0</v>
      </c>
      <c r="F28" s="107">
        <f>N28+F24+F22</f>
        <v>0</v>
      </c>
      <c r="G28" s="108"/>
      <c r="H28" s="108"/>
      <c r="I28" s="109"/>
      <c r="N28" s="110">
        <f>MIN(N30, A28+E28)+C28+D28</f>
        <v>0</v>
      </c>
      <c r="O28" s="53"/>
      <c r="P28" s="200" t="s">
        <v>135</v>
      </c>
      <c r="Q28" s="201"/>
      <c r="R28" s="225">
        <f>MAX(0,R26-R10-R12)</f>
        <v>0</v>
      </c>
      <c r="S28" s="226"/>
      <c r="AC28" s="96">
        <v>0.32</v>
      </c>
      <c r="AD28" s="97">
        <v>201776</v>
      </c>
      <c r="AE28" s="97">
        <v>256225</v>
      </c>
      <c r="AF28" s="97">
        <v>403551</v>
      </c>
      <c r="AG28" s="97">
        <v>512450</v>
      </c>
      <c r="AH28" s="97">
        <v>201776</v>
      </c>
      <c r="AI28" s="97">
        <v>256225</v>
      </c>
      <c r="AJ28" s="97">
        <v>201751</v>
      </c>
      <c r="AK28" s="97">
        <v>256200</v>
      </c>
      <c r="AL28" s="2">
        <v>2026</v>
      </c>
      <c r="AM28" s="3"/>
      <c r="AN28" s="5"/>
      <c r="AO28" s="100" t="s">
        <v>3</v>
      </c>
      <c r="AP28" s="5"/>
      <c r="AQ28" s="5"/>
      <c r="AR28" s="3"/>
      <c r="AS28" s="3"/>
      <c r="AT28" s="3"/>
      <c r="AU28" s="3"/>
      <c r="AV28" s="3"/>
      <c r="AW28" s="3"/>
      <c r="AX28" s="3"/>
      <c r="AY28" s="3"/>
      <c r="AZ28" s="3"/>
      <c r="BA28" s="231" t="s">
        <v>136</v>
      </c>
      <c r="BB28" s="231"/>
      <c r="BC28" s="231"/>
      <c r="BD28" s="21">
        <f>BD7-SUM(S46:S59)</f>
        <v>0</v>
      </c>
      <c r="BE28" s="12"/>
      <c r="BF28" s="12"/>
      <c r="BG28" s="12"/>
      <c r="BH28" s="3"/>
      <c r="BI28" s="3"/>
      <c r="BJ28" s="3"/>
      <c r="BK28" s="3"/>
      <c r="BL28" s="3"/>
      <c r="BM28" s="3"/>
      <c r="BN28" s="1"/>
    </row>
    <row r="29" spans="1:66" ht="15.6" customHeight="1" x14ac:dyDescent="0.25">
      <c r="A29" s="111" t="s">
        <v>137</v>
      </c>
      <c r="B29" s="112"/>
      <c r="C29" s="111" t="s">
        <v>138</v>
      </c>
      <c r="D29" s="112"/>
      <c r="E29" s="111" t="s">
        <v>139</v>
      </c>
      <c r="F29" s="112"/>
      <c r="G29" s="108"/>
      <c r="H29" s="108"/>
      <c r="I29" s="109"/>
      <c r="N29" s="110"/>
      <c r="O29" s="53"/>
      <c r="AC29" s="2"/>
      <c r="AD29" s="97"/>
      <c r="AE29" s="97"/>
      <c r="AF29" s="97"/>
      <c r="AG29" s="97"/>
      <c r="AH29" s="97"/>
      <c r="AI29" s="97"/>
      <c r="AJ29" s="97"/>
      <c r="AK29" s="97"/>
      <c r="AL29" s="2"/>
      <c r="AM29" s="3"/>
      <c r="AN29" s="5"/>
      <c r="AO29" s="5"/>
      <c r="AP29" s="5"/>
      <c r="AQ29" s="5"/>
      <c r="AR29" s="3"/>
      <c r="AS29" s="3"/>
      <c r="AT29" s="3"/>
      <c r="AU29" s="3"/>
      <c r="AV29" s="3"/>
      <c r="AW29" s="3"/>
      <c r="AX29" s="3"/>
      <c r="AY29" s="3"/>
      <c r="AZ29" s="3"/>
      <c r="BA29" s="5"/>
      <c r="BB29" s="5"/>
      <c r="BC29" s="5"/>
      <c r="BD29" s="21"/>
      <c r="BE29" s="12"/>
      <c r="BF29" s="12"/>
      <c r="BG29" s="12"/>
      <c r="BH29" s="3"/>
      <c r="BI29" s="3"/>
      <c r="BJ29" s="3"/>
      <c r="BK29" s="3"/>
      <c r="BL29" s="3"/>
      <c r="BM29" s="3"/>
      <c r="BN29" s="1"/>
    </row>
    <row r="30" spans="1:66" ht="15.6" customHeight="1" x14ac:dyDescent="0.25">
      <c r="A30" s="92"/>
      <c r="B30" s="92"/>
      <c r="C30" s="113"/>
      <c r="D30" s="113"/>
      <c r="E30" s="92"/>
      <c r="F30" s="113"/>
      <c r="G30" s="113"/>
      <c r="H30" s="1" t="s">
        <v>140</v>
      </c>
      <c r="M30" s="3">
        <f>IF(L23=75000, M23, 0)</f>
        <v>0</v>
      </c>
      <c r="N30" s="2">
        <f>IF(F5="Single",40000,IF(F5="MFJ",40000,IF(F5="MFS",20000,IF(F5="HH",40000,0))))</f>
        <v>40000</v>
      </c>
      <c r="O30" s="12"/>
      <c r="P30" s="232" t="s">
        <v>357</v>
      </c>
      <c r="Q30" s="233"/>
      <c r="R30" s="233"/>
      <c r="S30" s="234"/>
      <c r="AB30" s="114"/>
      <c r="AC30" s="96">
        <v>0.35</v>
      </c>
      <c r="AD30" s="97">
        <v>256226</v>
      </c>
      <c r="AE30" s="97">
        <v>640600</v>
      </c>
      <c r="AF30" s="97">
        <v>512450</v>
      </c>
      <c r="AG30" s="97">
        <v>768700</v>
      </c>
      <c r="AH30" s="97">
        <v>256226</v>
      </c>
      <c r="AI30" s="97">
        <v>640600</v>
      </c>
      <c r="AJ30" s="97">
        <v>256201</v>
      </c>
      <c r="AK30" s="97">
        <v>640600</v>
      </c>
      <c r="AL30" s="2">
        <v>2026</v>
      </c>
      <c r="AM30" s="3"/>
      <c r="AN30" s="5"/>
      <c r="AO30" s="5"/>
      <c r="AP30" s="5"/>
      <c r="AQ30" s="5"/>
      <c r="AR30" s="3"/>
      <c r="AS30" s="3"/>
      <c r="AT30" s="3"/>
      <c r="AU30" s="3"/>
      <c r="AV30" s="3"/>
      <c r="AW30" s="3"/>
      <c r="AX30" s="3"/>
      <c r="AY30" s="3"/>
      <c r="AZ30" s="3"/>
      <c r="BA30" s="204"/>
      <c r="BB30" s="204"/>
      <c r="BC30" s="204"/>
      <c r="BD30" s="32"/>
      <c r="BE30" s="12"/>
      <c r="BF30" s="12"/>
      <c r="BG30" s="12"/>
      <c r="BH30" s="3"/>
      <c r="BI30" s="3"/>
      <c r="BJ30" s="3"/>
      <c r="BK30" s="3"/>
      <c r="BL30" s="3"/>
      <c r="BM30" s="3"/>
      <c r="BN30" s="1"/>
    </row>
    <row r="31" spans="1:66" ht="15.6" hidden="1" customHeight="1" x14ac:dyDescent="0.25">
      <c r="A31" s="205" t="s">
        <v>141</v>
      </c>
      <c r="B31" s="206"/>
      <c r="C31" s="207"/>
      <c r="D31" s="207"/>
      <c r="E31" s="115">
        <f>B29</f>
        <v>0</v>
      </c>
      <c r="F31" s="116">
        <f>MIN(F32, E31)</f>
        <v>0</v>
      </c>
      <c r="G31" s="117">
        <f>MIN(F31, E31)</f>
        <v>0</v>
      </c>
      <c r="I31">
        <f>V6</f>
        <v>197300</v>
      </c>
      <c r="O31" s="12"/>
      <c r="AC31" s="96">
        <v>0.37</v>
      </c>
      <c r="AD31" s="97">
        <v>640601</v>
      </c>
      <c r="AE31" s="118" t="s">
        <v>142</v>
      </c>
      <c r="AF31" s="97">
        <v>768701</v>
      </c>
      <c r="AG31" s="118" t="s">
        <v>142</v>
      </c>
      <c r="AH31" s="97">
        <v>640601</v>
      </c>
      <c r="AI31" s="118" t="s">
        <v>142</v>
      </c>
      <c r="AJ31" s="97">
        <v>640601</v>
      </c>
      <c r="AK31" s="118" t="s">
        <v>142</v>
      </c>
      <c r="AL31" s="2">
        <v>2026</v>
      </c>
      <c r="AM31" s="3"/>
      <c r="AN31" s="5"/>
      <c r="AO31" s="5"/>
      <c r="AP31" s="5"/>
      <c r="AQ31" s="5"/>
      <c r="AR31" s="3">
        <v>10927.2</v>
      </c>
      <c r="AS31" s="119">
        <f>(C7+C8)*0.0145</f>
        <v>0</v>
      </c>
      <c r="AT31" s="3"/>
      <c r="AU31" s="3"/>
      <c r="AV31" s="3"/>
      <c r="AW31" s="3"/>
      <c r="AX31" s="3"/>
      <c r="AY31" s="3"/>
      <c r="AZ31" s="3"/>
      <c r="BA31" s="3"/>
      <c r="BE31" s="3"/>
      <c r="BF31" s="3"/>
      <c r="BG31" s="5"/>
      <c r="BH31" s="5"/>
    </row>
    <row r="32" spans="1:66" ht="15.6" hidden="1" customHeight="1" x14ac:dyDescent="0.25">
      <c r="A32" s="92"/>
      <c r="B32" s="92"/>
      <c r="C32" s="113"/>
      <c r="D32" s="113"/>
      <c r="E32" s="92"/>
      <c r="F32" s="120">
        <f>MAX(0, I33 - (TRUNC(MAX(0, F18 - I32) / 1000, 0) * 100))</f>
        <v>12500</v>
      </c>
      <c r="G32" s="113"/>
      <c r="I32">
        <f>IF(F5="Single",150000,IF(F5="MFJ",300000,IF(F5="MFS",150000,IF(F5="HH",150000,13850))))</f>
        <v>150000</v>
      </c>
      <c r="O32" s="12"/>
      <c r="P32" s="3"/>
      <c r="Q32" s="3"/>
      <c r="R32" s="3"/>
      <c r="S32" s="3"/>
      <c r="AC32" s="96">
        <v>0.1</v>
      </c>
      <c r="AD32" s="97">
        <v>0</v>
      </c>
      <c r="AE32" s="97">
        <v>11925</v>
      </c>
      <c r="AF32" s="97">
        <v>0</v>
      </c>
      <c r="AG32" s="97">
        <v>23850</v>
      </c>
      <c r="AH32" s="97">
        <v>0</v>
      </c>
      <c r="AI32" s="97">
        <v>11925</v>
      </c>
      <c r="AJ32" s="97">
        <v>0</v>
      </c>
      <c r="AK32" s="97">
        <v>17000</v>
      </c>
      <c r="AL32" s="2">
        <v>2025</v>
      </c>
      <c r="AM32" s="3"/>
      <c r="AN32" s="5"/>
      <c r="AO32" s="5"/>
      <c r="AP32" s="5"/>
      <c r="AQ32" s="5"/>
      <c r="AR32" s="119">
        <f>C7*0.062</f>
        <v>0</v>
      </c>
      <c r="AS32" s="119">
        <f>C8*0.062</f>
        <v>0</v>
      </c>
      <c r="AT32" s="3"/>
      <c r="AU32" s="3"/>
      <c r="AV32" s="3"/>
      <c r="AW32" s="3"/>
      <c r="AX32" s="3"/>
      <c r="AY32" s="3"/>
      <c r="AZ32" s="3"/>
      <c r="BA32" s="3"/>
      <c r="BE32" s="3"/>
      <c r="BF32" s="3"/>
      <c r="BG32" s="5"/>
      <c r="BH32" s="5"/>
    </row>
    <row r="33" spans="1:60" ht="15.6" hidden="1" customHeight="1" x14ac:dyDescent="0.25">
      <c r="A33" s="205" t="s">
        <v>143</v>
      </c>
      <c r="B33" s="206"/>
      <c r="C33" s="207"/>
      <c r="D33" s="207"/>
      <c r="E33" s="115">
        <f>D29</f>
        <v>0</v>
      </c>
      <c r="F33" s="116">
        <f>MIN(F34, E33)</f>
        <v>0</v>
      </c>
      <c r="G33" s="117">
        <f>MIN(F33, E33)</f>
        <v>0</v>
      </c>
      <c r="I33">
        <f>IF(F5="Single",12500,IF(F5="MFJ",25000,IF(F5="MFS",12500,IF(F5="HH",12500,13850))))</f>
        <v>12500</v>
      </c>
      <c r="O33" s="12"/>
      <c r="P33" s="3"/>
      <c r="Q33" s="3"/>
      <c r="R33" s="3"/>
      <c r="S33" s="3"/>
      <c r="AC33" s="96">
        <v>0.12</v>
      </c>
      <c r="AD33" s="97">
        <v>11926</v>
      </c>
      <c r="AE33" s="97">
        <v>48475</v>
      </c>
      <c r="AF33" s="97">
        <v>23851</v>
      </c>
      <c r="AG33" s="97">
        <v>96950</v>
      </c>
      <c r="AH33" s="97">
        <v>11926</v>
      </c>
      <c r="AI33" s="97">
        <v>48475</v>
      </c>
      <c r="AJ33" s="97">
        <v>17001</v>
      </c>
      <c r="AK33" s="97">
        <v>64850</v>
      </c>
      <c r="AL33" s="2">
        <v>2025</v>
      </c>
      <c r="AM33" s="3"/>
      <c r="AN33" s="5"/>
      <c r="AO33" s="5"/>
      <c r="AP33" s="5"/>
      <c r="AQ33" s="5"/>
      <c r="AR33" s="3"/>
      <c r="AS33" s="3"/>
      <c r="AT33" s="3"/>
      <c r="AU33" s="3"/>
      <c r="AV33" s="3"/>
      <c r="AW33" s="3"/>
      <c r="AX33" s="3"/>
      <c r="AY33" s="3"/>
      <c r="AZ33" s="3"/>
      <c r="BA33" s="3"/>
      <c r="BE33" s="3"/>
      <c r="BF33" s="3"/>
      <c r="BG33" s="5"/>
      <c r="BH33" s="5"/>
    </row>
    <row r="34" spans="1:60" ht="15.6" hidden="1" customHeight="1" x14ac:dyDescent="0.25">
      <c r="A34" s="92"/>
      <c r="B34" s="92"/>
      <c r="C34" s="113"/>
      <c r="D34" s="113"/>
      <c r="E34" s="92"/>
      <c r="F34" s="121">
        <f>MAX(0, 25000 - (TRUNC(MAX(0, F18 - I34) / 1000, 0) * 100))</f>
        <v>25000</v>
      </c>
      <c r="G34" s="113"/>
      <c r="I34" s="122">
        <f>IF(F5="Single",150000,IF(F5="MFJ",300000,IF(F5="MFS",150000,IF(F5="HH",150000,13850))))</f>
        <v>150000</v>
      </c>
      <c r="O34" s="12"/>
      <c r="P34" s="3"/>
      <c r="Q34" s="3"/>
      <c r="R34" s="3"/>
      <c r="S34" s="3"/>
      <c r="AC34" s="96">
        <v>0.22</v>
      </c>
      <c r="AD34" s="97">
        <v>48476</v>
      </c>
      <c r="AE34" s="97">
        <v>103350</v>
      </c>
      <c r="AF34" s="97">
        <v>96951</v>
      </c>
      <c r="AG34" s="97">
        <v>206700</v>
      </c>
      <c r="AH34" s="97">
        <v>48476</v>
      </c>
      <c r="AI34" s="97">
        <v>103350</v>
      </c>
      <c r="AJ34" s="97">
        <v>64851</v>
      </c>
      <c r="AK34" s="97">
        <v>103350</v>
      </c>
      <c r="AL34" s="2">
        <v>2025</v>
      </c>
      <c r="AM34" s="3"/>
      <c r="AN34" s="5"/>
      <c r="AO34" s="5"/>
      <c r="AP34" s="5"/>
      <c r="AQ34" s="5"/>
      <c r="AR34" s="3"/>
      <c r="AS34" s="3"/>
      <c r="AT34" s="3"/>
      <c r="AU34" s="3"/>
      <c r="AV34" s="3"/>
      <c r="AW34" s="3"/>
      <c r="AX34" s="3"/>
      <c r="AY34" s="3"/>
      <c r="AZ34" s="3"/>
      <c r="BA34" s="3"/>
      <c r="BE34" s="3"/>
      <c r="BF34" s="3"/>
      <c r="BG34" s="5"/>
      <c r="BH34" s="5"/>
    </row>
    <row r="35" spans="1:60" ht="15.6" hidden="1" customHeight="1" x14ac:dyDescent="0.25">
      <c r="A35" s="205" t="s">
        <v>144</v>
      </c>
      <c r="B35" s="206"/>
      <c r="C35" s="207"/>
      <c r="D35" s="207"/>
      <c r="E35" s="115">
        <f>F29</f>
        <v>0</v>
      </c>
      <c r="F35" s="116">
        <f>MIN(F44, E35)</f>
        <v>0</v>
      </c>
      <c r="G35" s="117">
        <f>MIN(F35, E35)</f>
        <v>0</v>
      </c>
      <c r="I35">
        <v>10000</v>
      </c>
      <c r="O35" s="12"/>
      <c r="P35" s="3"/>
      <c r="Q35" s="3"/>
      <c r="R35" s="3"/>
      <c r="S35" s="3"/>
      <c r="AC35" s="96">
        <v>0.24</v>
      </c>
      <c r="AD35" s="97">
        <v>103351</v>
      </c>
      <c r="AE35" s="97">
        <v>197300</v>
      </c>
      <c r="AF35" s="97">
        <v>206701</v>
      </c>
      <c r="AG35" s="97">
        <v>394600</v>
      </c>
      <c r="AH35" s="97">
        <v>103351</v>
      </c>
      <c r="AI35" s="97">
        <v>197300</v>
      </c>
      <c r="AJ35" s="97">
        <v>103351</v>
      </c>
      <c r="AK35" s="97">
        <v>197300</v>
      </c>
      <c r="AL35" s="2">
        <v>2025</v>
      </c>
      <c r="AM35" s="3"/>
      <c r="AN35" s="5"/>
      <c r="AO35" s="5"/>
      <c r="AP35" s="5"/>
      <c r="AQ35" s="5"/>
      <c r="AR35" s="3"/>
      <c r="AS35" s="3"/>
      <c r="AT35" s="3"/>
      <c r="AU35" s="3"/>
      <c r="AV35" s="3"/>
      <c r="AW35" s="3"/>
      <c r="AX35" s="3"/>
      <c r="AY35" s="3"/>
      <c r="AZ35" s="3"/>
      <c r="BA35" s="3"/>
      <c r="BE35" s="3"/>
      <c r="BF35" s="3"/>
      <c r="BG35" s="5"/>
      <c r="BH35" s="5"/>
    </row>
    <row r="36" spans="1:60" ht="15.6" hidden="1" customHeight="1" x14ac:dyDescent="0.25">
      <c r="A36" s="92"/>
      <c r="B36" s="92"/>
      <c r="C36" s="123"/>
      <c r="D36" s="123"/>
      <c r="E36" s="124"/>
      <c r="F36" s="124"/>
      <c r="G36" s="125"/>
      <c r="O36" s="12"/>
      <c r="P36" s="3"/>
      <c r="Q36" s="3"/>
      <c r="R36" s="3"/>
      <c r="S36" s="3"/>
      <c r="AC36" s="96">
        <v>0.32</v>
      </c>
      <c r="AD36" s="97">
        <v>197301</v>
      </c>
      <c r="AE36" s="97">
        <v>250525</v>
      </c>
      <c r="AF36" s="97">
        <v>394601</v>
      </c>
      <c r="AG36" s="97">
        <v>500050</v>
      </c>
      <c r="AH36" s="97">
        <v>197301</v>
      </c>
      <c r="AI36" s="97">
        <v>250525</v>
      </c>
      <c r="AJ36" s="97">
        <v>197301</v>
      </c>
      <c r="AK36" s="97">
        <v>250500</v>
      </c>
      <c r="AL36" s="2">
        <v>2025</v>
      </c>
      <c r="AM36" s="3"/>
      <c r="AN36" s="5"/>
      <c r="AO36" s="5"/>
      <c r="AP36" s="5"/>
      <c r="AQ36" s="5"/>
      <c r="AR36" s="3"/>
      <c r="AS36" s="3"/>
      <c r="AT36" s="3"/>
      <c r="AU36" s="3"/>
      <c r="AV36" s="3"/>
      <c r="AW36" s="3"/>
      <c r="AX36" s="3"/>
      <c r="AY36" s="3"/>
      <c r="AZ36" s="3"/>
      <c r="BA36" s="3"/>
      <c r="BE36" s="3"/>
      <c r="BF36" s="3"/>
      <c r="BG36" s="5"/>
      <c r="BH36" s="5"/>
    </row>
    <row r="37" spans="1:60" ht="15.6" hidden="1" customHeight="1" x14ac:dyDescent="0.25">
      <c r="A37" s="126"/>
      <c r="B37" s="126"/>
      <c r="C37" s="127"/>
      <c r="D37" s="127"/>
      <c r="E37" s="128"/>
      <c r="F37" s="128"/>
      <c r="G37" s="125"/>
      <c r="O37" s="12"/>
      <c r="P37" s="3"/>
      <c r="Q37" s="3"/>
      <c r="R37" s="3"/>
      <c r="S37" s="3"/>
      <c r="AC37" s="96">
        <v>0.35</v>
      </c>
      <c r="AD37" s="97">
        <v>250526</v>
      </c>
      <c r="AE37" s="97">
        <v>626350</v>
      </c>
      <c r="AF37" s="97">
        <v>501051</v>
      </c>
      <c r="AG37" s="97">
        <v>751600</v>
      </c>
      <c r="AH37" s="97">
        <v>250526</v>
      </c>
      <c r="AI37" s="97">
        <v>626350</v>
      </c>
      <c r="AJ37" s="97">
        <v>250501</v>
      </c>
      <c r="AK37" s="97">
        <v>626350</v>
      </c>
      <c r="AL37" s="2">
        <v>2025</v>
      </c>
      <c r="AM37" s="3"/>
      <c r="AN37" s="5"/>
      <c r="AO37" s="5"/>
      <c r="AP37" s="5"/>
      <c r="AQ37" s="5"/>
      <c r="AR37" s="3"/>
      <c r="AS37" s="3"/>
      <c r="AT37" s="3"/>
      <c r="AU37" s="3"/>
      <c r="AV37" s="3"/>
      <c r="AW37" s="3"/>
      <c r="AX37" s="3"/>
      <c r="AY37" s="3"/>
      <c r="AZ37" s="3"/>
      <c r="BA37" s="3"/>
      <c r="BE37" s="3"/>
      <c r="BF37" s="3"/>
      <c r="BG37" s="5"/>
      <c r="BH37" s="5"/>
    </row>
    <row r="38" spans="1:60" ht="15.6" hidden="1" customHeight="1" x14ac:dyDescent="0.25">
      <c r="A38" s="126"/>
      <c r="B38" s="126"/>
      <c r="C38" s="127"/>
      <c r="D38" s="127"/>
      <c r="E38" s="128"/>
      <c r="F38" s="128"/>
      <c r="G38" s="125"/>
      <c r="O38" s="12"/>
      <c r="P38" s="3"/>
      <c r="Q38" s="3"/>
      <c r="R38" s="3"/>
      <c r="S38" s="3"/>
      <c r="AC38" s="96">
        <v>0.37</v>
      </c>
      <c r="AD38" s="97">
        <v>626350</v>
      </c>
      <c r="AE38" s="118" t="s">
        <v>142</v>
      </c>
      <c r="AF38" s="97">
        <v>751600</v>
      </c>
      <c r="AG38" s="118" t="s">
        <v>142</v>
      </c>
      <c r="AH38" s="97">
        <v>626350</v>
      </c>
      <c r="AI38" s="118" t="s">
        <v>142</v>
      </c>
      <c r="AJ38" s="97">
        <v>626351</v>
      </c>
      <c r="AK38" s="118" t="s">
        <v>142</v>
      </c>
      <c r="AL38" s="2">
        <v>2025</v>
      </c>
      <c r="AM38" s="3"/>
      <c r="AN38" s="5"/>
      <c r="AO38" s="5"/>
      <c r="AP38" s="5"/>
      <c r="AQ38" s="5"/>
      <c r="AR38" s="3"/>
      <c r="AS38" s="3"/>
      <c r="AT38" s="3"/>
      <c r="AU38" s="3"/>
      <c r="AV38" s="3"/>
      <c r="AW38" s="3"/>
      <c r="AX38" s="3"/>
      <c r="AY38" s="3"/>
      <c r="AZ38" s="3"/>
      <c r="BA38" s="3"/>
      <c r="BE38" s="3"/>
      <c r="BF38" s="3"/>
      <c r="BG38" s="5"/>
      <c r="BH38" s="5"/>
    </row>
    <row r="39" spans="1:60" ht="15.6" hidden="1" customHeight="1" x14ac:dyDescent="0.25">
      <c r="A39" s="126"/>
      <c r="B39" s="126"/>
      <c r="C39" s="127"/>
      <c r="D39" s="127"/>
      <c r="E39" s="128"/>
      <c r="F39" s="128"/>
      <c r="G39" s="125"/>
      <c r="O39" s="12"/>
      <c r="P39" s="3"/>
      <c r="Q39" s="3"/>
      <c r="R39" s="3"/>
      <c r="S39" s="3"/>
      <c r="AC39" s="96">
        <v>0.1</v>
      </c>
      <c r="AD39" s="97">
        <v>0</v>
      </c>
      <c r="AE39" s="97">
        <v>11600</v>
      </c>
      <c r="AF39" s="97">
        <v>0</v>
      </c>
      <c r="AG39" s="97">
        <v>23200</v>
      </c>
      <c r="AH39" s="97">
        <v>0</v>
      </c>
      <c r="AI39" s="97">
        <v>11600</v>
      </c>
      <c r="AJ39" s="97">
        <v>0</v>
      </c>
      <c r="AK39" s="97">
        <v>16550</v>
      </c>
      <c r="AL39" s="2">
        <v>2024</v>
      </c>
      <c r="AM39" s="3"/>
      <c r="AN39" s="5"/>
      <c r="AO39" s="5"/>
      <c r="AP39" s="5"/>
      <c r="AQ39" s="5"/>
      <c r="AR39" s="3"/>
      <c r="AS39" s="3"/>
      <c r="AT39" s="3"/>
      <c r="AU39" s="3"/>
      <c r="AV39" s="3"/>
      <c r="AW39" s="3"/>
      <c r="AX39" s="3"/>
      <c r="AY39" s="3"/>
      <c r="AZ39" s="3"/>
      <c r="BA39" s="3"/>
      <c r="BE39" s="3"/>
      <c r="BF39" s="3"/>
      <c r="BG39" s="5"/>
      <c r="BH39" s="5"/>
    </row>
    <row r="40" spans="1:60" ht="15.6" hidden="1" customHeight="1" x14ac:dyDescent="0.25">
      <c r="A40" s="126"/>
      <c r="B40" s="126"/>
      <c r="C40" s="127"/>
      <c r="D40" s="127"/>
      <c r="E40" s="128"/>
      <c r="F40" s="128"/>
      <c r="G40" s="125"/>
      <c r="O40" s="12"/>
      <c r="P40" s="3"/>
      <c r="Q40" s="3"/>
      <c r="R40" s="3"/>
      <c r="S40" s="3"/>
      <c r="AC40" s="96">
        <v>0.12</v>
      </c>
      <c r="AD40" s="97">
        <v>11601</v>
      </c>
      <c r="AE40" s="97">
        <v>47150</v>
      </c>
      <c r="AF40" s="97">
        <v>23201</v>
      </c>
      <c r="AG40" s="97">
        <v>94300</v>
      </c>
      <c r="AH40" s="97">
        <v>11601</v>
      </c>
      <c r="AI40" s="97">
        <v>47150</v>
      </c>
      <c r="AJ40" s="97">
        <v>16551</v>
      </c>
      <c r="AK40" s="97">
        <v>63100</v>
      </c>
      <c r="AL40" s="2">
        <v>2024</v>
      </c>
      <c r="AM40" s="3"/>
      <c r="AN40" s="5"/>
      <c r="AO40" s="5"/>
      <c r="AP40" s="5"/>
      <c r="AQ40" s="5"/>
      <c r="AR40" s="3"/>
      <c r="AS40" s="3"/>
      <c r="AT40" s="3"/>
      <c r="AU40" s="3"/>
      <c r="AV40" s="3"/>
      <c r="AW40" s="3"/>
      <c r="AX40" s="3"/>
      <c r="AY40" s="3"/>
      <c r="AZ40" s="3"/>
      <c r="BA40" s="3"/>
      <c r="BE40" s="3"/>
      <c r="BF40" s="3"/>
      <c r="BG40" s="5"/>
      <c r="BH40" s="5"/>
    </row>
    <row r="41" spans="1:60" ht="15.6" hidden="1" customHeight="1" x14ac:dyDescent="0.25">
      <c r="A41" s="126"/>
      <c r="B41" s="126"/>
      <c r="C41" s="127"/>
      <c r="D41" s="127"/>
      <c r="E41" s="128"/>
      <c r="F41" s="128"/>
      <c r="G41" s="125"/>
      <c r="O41" s="12"/>
      <c r="P41" s="3"/>
      <c r="Q41" s="3"/>
      <c r="R41" s="3"/>
      <c r="S41" s="3"/>
      <c r="AC41" s="96">
        <v>0.22</v>
      </c>
      <c r="AD41" s="97">
        <v>42751</v>
      </c>
      <c r="AE41" s="97">
        <v>100525</v>
      </c>
      <c r="AF41" s="97">
        <v>94301</v>
      </c>
      <c r="AG41" s="97">
        <v>201050</v>
      </c>
      <c r="AH41" s="97">
        <v>42751</v>
      </c>
      <c r="AI41" s="97">
        <v>100525</v>
      </c>
      <c r="AJ41" s="97">
        <v>63101</v>
      </c>
      <c r="AK41" s="97">
        <v>100500</v>
      </c>
      <c r="AL41" s="2">
        <v>2024</v>
      </c>
      <c r="AM41" s="3"/>
      <c r="AN41" s="5"/>
      <c r="AO41" s="5"/>
      <c r="AP41" s="5"/>
      <c r="AQ41" s="5"/>
      <c r="AR41" s="3"/>
      <c r="AS41" s="3"/>
      <c r="AT41" s="3"/>
      <c r="AU41" s="3"/>
      <c r="AV41" s="3"/>
      <c r="AW41" s="3"/>
      <c r="AX41" s="3"/>
      <c r="AY41" s="3"/>
      <c r="AZ41" s="3"/>
      <c r="BA41" s="3"/>
      <c r="BE41" s="3"/>
      <c r="BF41" s="3"/>
      <c r="BG41" s="5"/>
      <c r="BH41" s="5"/>
    </row>
    <row r="42" spans="1:60" ht="15.6" hidden="1" customHeight="1" x14ac:dyDescent="0.25">
      <c r="A42" s="126"/>
      <c r="B42" s="126"/>
      <c r="C42" s="127"/>
      <c r="D42" s="127"/>
      <c r="E42" s="128"/>
      <c r="F42" s="128"/>
      <c r="G42" s="125"/>
      <c r="O42" s="12"/>
      <c r="P42" s="3"/>
      <c r="Q42" s="3"/>
      <c r="R42" s="3"/>
      <c r="S42" s="3"/>
      <c r="AC42" s="96">
        <v>0.24</v>
      </c>
      <c r="AD42" s="97">
        <v>100526</v>
      </c>
      <c r="AE42" s="97">
        <v>191950</v>
      </c>
      <c r="AF42" s="97">
        <v>201051</v>
      </c>
      <c r="AG42" s="97">
        <v>383900</v>
      </c>
      <c r="AH42" s="97">
        <v>100526</v>
      </c>
      <c r="AI42" s="97">
        <v>191950</v>
      </c>
      <c r="AJ42" s="97">
        <v>100501</v>
      </c>
      <c r="AK42" s="97">
        <v>191950</v>
      </c>
      <c r="AL42" s="2">
        <v>2024</v>
      </c>
      <c r="AM42" s="3"/>
      <c r="AN42" s="5"/>
      <c r="AO42" s="5"/>
      <c r="AP42" s="5"/>
      <c r="AQ42" s="5"/>
      <c r="AR42" s="3"/>
      <c r="AS42" s="3"/>
      <c r="AT42" s="3"/>
      <c r="AU42" s="3"/>
      <c r="AV42" s="3"/>
      <c r="AW42" s="3"/>
      <c r="AX42" s="3"/>
      <c r="AY42" s="3"/>
      <c r="AZ42" s="3"/>
      <c r="BA42" s="3"/>
      <c r="BE42" s="3"/>
      <c r="BF42" s="3"/>
      <c r="BG42" s="5"/>
      <c r="BH42" s="5"/>
    </row>
    <row r="43" spans="1:60" ht="15.6" hidden="1" customHeight="1" x14ac:dyDescent="0.25">
      <c r="A43" s="126"/>
      <c r="B43" s="126"/>
      <c r="C43" s="127"/>
      <c r="D43" s="127"/>
      <c r="E43" s="128"/>
      <c r="F43" s="128"/>
      <c r="G43" s="125"/>
      <c r="O43" s="12"/>
      <c r="P43" s="3"/>
      <c r="Q43" s="3"/>
      <c r="R43" s="3"/>
      <c r="S43" s="3"/>
      <c r="AC43" s="96">
        <v>0.32</v>
      </c>
      <c r="AD43" s="97">
        <v>191951</v>
      </c>
      <c r="AE43" s="97">
        <v>243725</v>
      </c>
      <c r="AF43" s="97">
        <v>383901</v>
      </c>
      <c r="AG43" s="97">
        <v>487450</v>
      </c>
      <c r="AH43" s="97">
        <v>191951</v>
      </c>
      <c r="AI43" s="97">
        <v>243725</v>
      </c>
      <c r="AJ43" s="97">
        <v>191951</v>
      </c>
      <c r="AK43" s="97">
        <v>243700</v>
      </c>
      <c r="AL43" s="2">
        <v>2024</v>
      </c>
      <c r="AM43" s="3"/>
      <c r="AN43" s="5"/>
      <c r="AO43" s="5"/>
      <c r="AP43" s="5"/>
      <c r="AQ43" s="5"/>
      <c r="AR43" s="3"/>
      <c r="AS43" s="3"/>
      <c r="AT43" s="3"/>
      <c r="AU43" s="3"/>
      <c r="AV43" s="3"/>
      <c r="AW43" s="3"/>
      <c r="AX43" s="3"/>
      <c r="AY43" s="3"/>
      <c r="AZ43" s="3"/>
      <c r="BA43" s="3"/>
      <c r="BE43" s="3"/>
      <c r="BF43" s="3"/>
      <c r="BG43" s="5"/>
      <c r="BH43" s="5"/>
    </row>
    <row r="44" spans="1:60" ht="15.6" hidden="1" customHeight="1" x14ac:dyDescent="0.25">
      <c r="A44" s="126"/>
      <c r="B44" s="126"/>
      <c r="C44" s="129"/>
      <c r="D44" s="129"/>
      <c r="E44" s="126"/>
      <c r="F44" s="129">
        <f>MAX(0, I35- (MAX(0, F18 - I44) * 0.2))</f>
        <v>10000</v>
      </c>
      <c r="G44" s="113"/>
      <c r="I44">
        <f>IF(F5="Single",100000,IF(F5="MFJ",200000,IF(F5="MFS",100000,IF(F5="HH",100000,13850))))</f>
        <v>100000</v>
      </c>
      <c r="O44" s="12"/>
      <c r="P44" s="3"/>
      <c r="Q44" s="3"/>
      <c r="R44" s="3"/>
      <c r="S44" s="3"/>
      <c r="AC44" s="96">
        <v>0.35</v>
      </c>
      <c r="AD44" s="97">
        <v>243726</v>
      </c>
      <c r="AE44" s="97">
        <v>609350</v>
      </c>
      <c r="AF44" s="97">
        <v>487451</v>
      </c>
      <c r="AG44" s="97">
        <v>731200</v>
      </c>
      <c r="AH44" s="97">
        <v>243726</v>
      </c>
      <c r="AI44" s="97">
        <v>609350</v>
      </c>
      <c r="AJ44" s="97">
        <v>243701</v>
      </c>
      <c r="AK44" s="97">
        <v>609350</v>
      </c>
      <c r="AL44" s="2">
        <v>2024</v>
      </c>
      <c r="AM44" s="3"/>
      <c r="AN44" s="5"/>
      <c r="AO44" s="5"/>
      <c r="AP44" s="5"/>
      <c r="AQ44" s="5"/>
      <c r="AR44" s="3"/>
      <c r="AS44" s="3"/>
      <c r="AT44" s="3"/>
      <c r="AU44" s="3"/>
      <c r="AV44" s="3"/>
      <c r="AW44" s="3"/>
      <c r="AX44" s="3"/>
      <c r="AY44" s="3"/>
      <c r="AZ44" s="3"/>
      <c r="BA44" s="3"/>
      <c r="BE44" s="3"/>
      <c r="BF44" s="3"/>
      <c r="BG44" s="5"/>
      <c r="BH44" s="5"/>
    </row>
    <row r="45" spans="1:60" ht="15.6" hidden="1" customHeight="1" x14ac:dyDescent="0.25">
      <c r="A45" s="205" t="s">
        <v>145</v>
      </c>
      <c r="B45" s="206"/>
      <c r="C45" s="207"/>
      <c r="D45" s="207"/>
      <c r="E45" s="130">
        <f>((C14+C15+C16+C11)*0.2)</f>
        <v>0</v>
      </c>
      <c r="F45" s="116">
        <f>IF(F18 &lt; I27, E45, V23)</f>
        <v>0</v>
      </c>
      <c r="G45" s="117">
        <f>F45*H5</f>
        <v>0</v>
      </c>
      <c r="H45" s="1" t="s">
        <v>24</v>
      </c>
      <c r="M45" s="3">
        <f>IF(L23=150000, M27, 0)</f>
        <v>0</v>
      </c>
      <c r="O45" s="53"/>
      <c r="P45" s="3"/>
      <c r="Q45" s="3"/>
      <c r="R45" s="3"/>
      <c r="S45" s="3"/>
      <c r="AC45" s="96">
        <v>0.37</v>
      </c>
      <c r="AD45" s="97">
        <v>609351</v>
      </c>
      <c r="AE45" s="118" t="s">
        <v>6</v>
      </c>
      <c r="AF45" s="97">
        <v>731201</v>
      </c>
      <c r="AG45" s="118" t="s">
        <v>142</v>
      </c>
      <c r="AH45" s="97">
        <v>609351</v>
      </c>
      <c r="AI45" s="118" t="s">
        <v>6</v>
      </c>
      <c r="AJ45" s="97">
        <v>609351</v>
      </c>
      <c r="AK45" s="118" t="s">
        <v>142</v>
      </c>
      <c r="AL45" s="2">
        <v>2024</v>
      </c>
      <c r="AM45" s="3"/>
      <c r="AN45" s="5"/>
      <c r="AO45" s="5"/>
      <c r="AP45" s="5"/>
      <c r="AQ45" s="5"/>
      <c r="AR45" s="3"/>
      <c r="AS45" s="3"/>
      <c r="AT45" s="3"/>
      <c r="AU45" s="3"/>
      <c r="AV45" s="3"/>
      <c r="AW45" s="3"/>
      <c r="AX45" s="3"/>
      <c r="AY45" s="3"/>
      <c r="AZ45" s="3"/>
      <c r="BA45" s="3"/>
      <c r="BE45" s="3"/>
      <c r="BF45" s="3"/>
      <c r="BG45" s="5"/>
      <c r="BH45" s="5"/>
    </row>
    <row r="46" spans="1:60" ht="15.6" hidden="1" customHeight="1" x14ac:dyDescent="0.25">
      <c r="A46" s="92"/>
      <c r="B46" s="92"/>
      <c r="C46" s="113"/>
      <c r="D46" s="113"/>
      <c r="E46" s="92"/>
      <c r="F46" s="113"/>
      <c r="G46" s="113"/>
      <c r="H46" s="1" t="s">
        <v>146</v>
      </c>
      <c r="I46">
        <f>IF(F5="Single",48350,IF(F5="MFJ",96700,IF(F5="MFS",48350,IF(F5="HH",64750,13850))))</f>
        <v>48350</v>
      </c>
      <c r="J46">
        <f>IF(F18 &gt; I46, 0.15, 0)</f>
        <v>0</v>
      </c>
      <c r="O46" s="53"/>
      <c r="P46" s="3"/>
      <c r="Q46" s="3"/>
      <c r="R46" s="3"/>
      <c r="S46" s="3"/>
      <c r="AC46" s="3"/>
      <c r="AD46" s="131"/>
      <c r="AE46" s="104"/>
      <c r="AF46" s="131"/>
      <c r="AG46" s="104"/>
      <c r="AH46" s="131"/>
      <c r="AI46" s="104"/>
      <c r="AJ46" s="131"/>
      <c r="AK46" s="104"/>
      <c r="AL46" s="3"/>
      <c r="AM46" s="3"/>
      <c r="AN46" s="5"/>
      <c r="AO46" s="5"/>
      <c r="AP46" s="5"/>
      <c r="AQ46" s="5"/>
      <c r="AR46" s="3"/>
      <c r="AS46" s="3"/>
      <c r="AT46" s="3"/>
      <c r="AU46" s="3"/>
      <c r="AV46" s="3"/>
      <c r="AW46" s="3"/>
      <c r="AX46" s="3"/>
      <c r="AY46" s="3"/>
      <c r="AZ46" s="3"/>
      <c r="BA46" s="3"/>
      <c r="BE46" s="3"/>
      <c r="BF46" s="3"/>
      <c r="BG46" s="5"/>
      <c r="BH46" s="5"/>
    </row>
    <row r="47" spans="1:60" ht="15.6" hidden="1" customHeight="1" x14ac:dyDescent="0.25">
      <c r="A47" s="219" t="s">
        <v>147</v>
      </c>
      <c r="B47" s="220"/>
      <c r="C47" s="221"/>
      <c r="D47" s="221"/>
      <c r="E47" s="222"/>
      <c r="F47" s="116">
        <f>F18-N26-F31-F33-F35-B13-F45</f>
        <v>-15750</v>
      </c>
      <c r="G47" s="132">
        <f>G18-G27-G45-F11-F12-F14</f>
        <v>-13850</v>
      </c>
      <c r="H47" s="1" t="s">
        <v>148</v>
      </c>
      <c r="I47">
        <f>IF(F5="Single",533400,IF(F5="MFJ",600050,IF(F5="MFS",300000,IF(F5="HH",566700,13850))))</f>
        <v>533400</v>
      </c>
      <c r="J47">
        <f>IF(F18 &gt; I47, 0.05, 0)</f>
        <v>0</v>
      </c>
      <c r="P47" s="3"/>
      <c r="Q47" s="3"/>
      <c r="R47" s="3"/>
      <c r="S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5"/>
      <c r="AO47" s="5"/>
      <c r="AP47" s="5"/>
      <c r="AQ47" s="5"/>
      <c r="AR47" s="3"/>
      <c r="AS47" s="3"/>
      <c r="AT47" s="3"/>
      <c r="AU47" s="3"/>
      <c r="AV47" s="3"/>
      <c r="AW47" s="3"/>
      <c r="AX47" s="3"/>
      <c r="AY47" s="3"/>
      <c r="AZ47" s="3"/>
      <c r="BA47" s="3"/>
      <c r="BE47" s="3"/>
      <c r="BF47" s="3"/>
      <c r="BG47" s="5"/>
      <c r="BH47" s="5"/>
    </row>
    <row r="48" spans="1:60" ht="15.6" hidden="1" customHeight="1" x14ac:dyDescent="0.25">
      <c r="A48" s="92"/>
      <c r="B48" s="92"/>
      <c r="C48" s="113"/>
      <c r="D48" s="113"/>
      <c r="E48" s="92"/>
      <c r="F48" s="92"/>
      <c r="G48" s="92"/>
      <c r="H48" s="1" t="s">
        <v>149</v>
      </c>
      <c r="O48" s="12"/>
      <c r="P48" s="3"/>
      <c r="Q48" s="3"/>
      <c r="R48" s="3"/>
      <c r="S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5"/>
      <c r="AO48" s="5"/>
      <c r="AP48" s="5"/>
      <c r="AQ48" s="5"/>
      <c r="AR48" s="3"/>
      <c r="AS48" s="3"/>
      <c r="AT48" s="3"/>
      <c r="AU48" s="3"/>
      <c r="AV48" s="3"/>
      <c r="AW48" s="3"/>
      <c r="AX48" s="3"/>
      <c r="AY48" s="3"/>
      <c r="AZ48" s="3"/>
      <c r="BA48" s="3"/>
      <c r="BE48" s="3"/>
      <c r="BF48" s="3"/>
      <c r="BG48" s="5"/>
      <c r="BH48" s="5"/>
    </row>
    <row r="49" spans="1:60" ht="15.6" hidden="1" customHeight="1" x14ac:dyDescent="0.25">
      <c r="A49" s="205" t="s">
        <v>150</v>
      </c>
      <c r="B49" s="206"/>
      <c r="C49" s="207"/>
      <c r="D49" s="133">
        <v>0</v>
      </c>
      <c r="E49" s="134">
        <f>(B13*J46)+(B13*J47)</f>
        <v>0</v>
      </c>
      <c r="F49" s="116">
        <f>MAX(E49,D49)</f>
        <v>0</v>
      </c>
      <c r="G49" s="116">
        <f>F49</f>
        <v>0</v>
      </c>
      <c r="H49" s="1" t="s">
        <v>151</v>
      </c>
      <c r="O49" s="53"/>
      <c r="P49" s="3"/>
      <c r="Q49" s="3"/>
      <c r="R49" s="3"/>
      <c r="S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E49" s="3"/>
      <c r="BF49" s="3"/>
      <c r="BG49" s="5"/>
      <c r="BH49" s="5"/>
    </row>
    <row r="50" spans="1:60" ht="15.6" hidden="1" customHeight="1" x14ac:dyDescent="0.25">
      <c r="A50" s="126">
        <f>AU21</f>
        <v>176100</v>
      </c>
      <c r="B50" s="126"/>
      <c r="C50" s="135">
        <f>C15*0.9235</f>
        <v>0</v>
      </c>
      <c r="D50" s="136">
        <f>C50*0.124</f>
        <v>0</v>
      </c>
      <c r="E50" s="137">
        <f>($A$50-C7-F11)*0.124</f>
        <v>21836.400000000001</v>
      </c>
      <c r="F50" s="138"/>
      <c r="G50" s="124"/>
      <c r="H50" s="1" t="s">
        <v>152</v>
      </c>
      <c r="O50" s="12"/>
      <c r="P50" s="3"/>
      <c r="Q50" s="3"/>
      <c r="R50" s="3"/>
      <c r="S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E50" s="3"/>
      <c r="BF50" s="3"/>
      <c r="BG50" s="5"/>
      <c r="BH50" s="5"/>
    </row>
    <row r="51" spans="1:60" ht="15.6" hidden="1" customHeight="1" x14ac:dyDescent="0.25">
      <c r="A51" s="139"/>
      <c r="B51" s="139"/>
      <c r="C51" s="135">
        <f>C16*0.9235</f>
        <v>0</v>
      </c>
      <c r="D51" s="140">
        <f>C51*0.124</f>
        <v>0</v>
      </c>
      <c r="E51" s="141">
        <f>($A$50-C8-F12)*0.124</f>
        <v>21836.400000000001</v>
      </c>
      <c r="F51" s="138">
        <f>IF(D52&lt;0, 0, D52)</f>
        <v>0</v>
      </c>
      <c r="G51" s="124"/>
      <c r="O51" s="12"/>
      <c r="P51" s="3"/>
      <c r="Q51" s="3"/>
      <c r="R51" s="3"/>
      <c r="S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E51" s="3"/>
      <c r="BF51" s="3"/>
      <c r="BG51" s="5"/>
      <c r="BH51" s="5"/>
    </row>
    <row r="52" spans="1:60" ht="15.6" hidden="1" customHeight="1" x14ac:dyDescent="0.25">
      <c r="A52" s="205" t="s">
        <v>174</v>
      </c>
      <c r="B52" s="206"/>
      <c r="C52" s="207"/>
      <c r="D52" s="142">
        <f>MIN(D50,E50)+MIN(D51,E51)</f>
        <v>0</v>
      </c>
      <c r="E52" s="143">
        <f>(C50+C51)*0.029</f>
        <v>0</v>
      </c>
      <c r="F52" s="116">
        <f>E52+F51+L15</f>
        <v>0</v>
      </c>
      <c r="G52" s="116">
        <f>F52</f>
        <v>0</v>
      </c>
      <c r="H52" s="1" t="s">
        <v>153</v>
      </c>
      <c r="L52" s="29"/>
      <c r="O52" s="53"/>
      <c r="P52" s="3"/>
      <c r="Q52" s="3"/>
      <c r="R52" s="3"/>
      <c r="S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E52" s="3"/>
      <c r="BF52" s="3"/>
      <c r="BG52" s="5"/>
      <c r="BH52" s="5"/>
    </row>
    <row r="53" spans="1:60" ht="15.6" hidden="1" customHeight="1" x14ac:dyDescent="0.25">
      <c r="A53" s="139"/>
      <c r="B53" s="139"/>
      <c r="C53" s="139"/>
      <c r="D53" s="139"/>
      <c r="E53" s="139"/>
      <c r="F53" s="144">
        <f>IF(F18 &gt; I54, E54, 0)</f>
        <v>0</v>
      </c>
      <c r="G53" s="145"/>
      <c r="H53" s="1" t="s">
        <v>154</v>
      </c>
      <c r="O53" s="12"/>
      <c r="P53" s="3"/>
      <c r="Q53" s="3"/>
      <c r="R53" s="3"/>
      <c r="S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E53" s="3"/>
      <c r="BF53" s="3"/>
      <c r="BG53" s="5"/>
      <c r="BH53" s="5"/>
    </row>
    <row r="54" spans="1:60" ht="15.6" hidden="1" customHeight="1" x14ac:dyDescent="0.25">
      <c r="A54" s="205" t="s">
        <v>155</v>
      </c>
      <c r="B54" s="206"/>
      <c r="C54" s="207"/>
      <c r="D54" s="207"/>
      <c r="E54" s="146">
        <f>(C9+C11+C12+C13)*0.038</f>
        <v>0</v>
      </c>
      <c r="F54" s="116">
        <f>IF(F18&gt;0,F53,0)</f>
        <v>0</v>
      </c>
      <c r="G54" s="116">
        <f>F54</f>
        <v>0</v>
      </c>
      <c r="I54">
        <f>IF(F5="Single",200000,IF(F5="MFJ",250000,IF(F5="MFS",200000,IF(F5="HH",200000,13850))))</f>
        <v>200000</v>
      </c>
      <c r="P54" s="3"/>
      <c r="Q54" s="3"/>
      <c r="R54" s="3"/>
      <c r="S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E54" s="3"/>
      <c r="BF54" s="3"/>
      <c r="BG54" s="5"/>
      <c r="BH54" s="5"/>
    </row>
    <row r="55" spans="1:60" ht="15.6" hidden="1" customHeight="1" x14ac:dyDescent="0.25">
      <c r="A55" s="147"/>
      <c r="B55" s="147"/>
      <c r="C55" s="147"/>
      <c r="D55" s="147"/>
      <c r="E55" s="147"/>
      <c r="F55" s="148"/>
      <c r="G55" s="148"/>
      <c r="P55" s="3"/>
      <c r="Q55" s="3"/>
      <c r="R55" s="3"/>
      <c r="S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E55" s="3"/>
      <c r="BF55" s="3"/>
      <c r="BG55" s="5"/>
      <c r="BH55" s="5"/>
    </row>
    <row r="56" spans="1:60" ht="15.6" hidden="1" customHeight="1" x14ac:dyDescent="0.25">
      <c r="A56" s="215" t="s">
        <v>156</v>
      </c>
      <c r="B56" s="216"/>
      <c r="C56" s="217"/>
      <c r="D56" s="217"/>
      <c r="E56" s="218"/>
      <c r="F56" s="149">
        <f>AJ8+F49+F52+F54</f>
        <v>0</v>
      </c>
      <c r="G56" s="150" t="e">
        <f>#REF!+G49+G52+G54</f>
        <v>#REF!</v>
      </c>
      <c r="P56" s="3"/>
      <c r="Q56" s="3"/>
      <c r="R56" s="3"/>
      <c r="S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E56" s="3"/>
      <c r="BF56" s="3"/>
      <c r="BG56" s="5"/>
      <c r="BH56" s="5"/>
    </row>
    <row r="57" spans="1:60" ht="15.6" hidden="1" customHeight="1" x14ac:dyDescent="0.25">
      <c r="A57" s="147"/>
      <c r="B57" s="147"/>
      <c r="C57" s="147"/>
      <c r="D57" s="147"/>
      <c r="E57" s="147"/>
      <c r="F57" s="148"/>
      <c r="G57" s="148"/>
      <c r="O57" s="53" t="s">
        <v>6</v>
      </c>
      <c r="P57" s="3"/>
      <c r="Q57" s="3"/>
      <c r="R57" s="3"/>
      <c r="S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E57" s="3"/>
      <c r="BF57" s="3"/>
      <c r="BG57" s="5"/>
      <c r="BH57" s="5"/>
    </row>
    <row r="58" spans="1:60" ht="15.6" hidden="1" customHeight="1" x14ac:dyDescent="0.25">
      <c r="A58" s="205" t="s">
        <v>157</v>
      </c>
      <c r="B58" s="206"/>
      <c r="C58" s="207"/>
      <c r="D58" s="207"/>
      <c r="E58" s="201"/>
      <c r="F58" s="116">
        <f>SUM(F7:F10)</f>
        <v>0</v>
      </c>
      <c r="G58" s="116">
        <f>E18</f>
        <v>0</v>
      </c>
      <c r="O58" s="12"/>
      <c r="P58" s="204"/>
      <c r="Q58" s="204"/>
      <c r="R58" s="204"/>
      <c r="S58" s="32"/>
      <c r="T58" s="45"/>
      <c r="U58" s="45"/>
      <c r="V58" s="45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E58" s="3"/>
      <c r="BF58" s="3"/>
      <c r="BG58" s="5"/>
      <c r="BH58" s="5"/>
    </row>
    <row r="59" spans="1:60" ht="15.6" hidden="1" customHeight="1" x14ac:dyDescent="0.25">
      <c r="A59" s="147"/>
      <c r="B59" s="147"/>
      <c r="C59" s="147"/>
      <c r="D59" s="147"/>
      <c r="E59" s="147"/>
      <c r="F59" s="151"/>
      <c r="G59" s="151"/>
      <c r="L59" s="1">
        <f>IF(F5="Single",200000,IF(F5="MFJ",400000,IF(F5="MFS",200000,IF(F5="HH",200000,13850))))</f>
        <v>200000</v>
      </c>
      <c r="M59" s="3">
        <f>IF(F18&lt;L59, L60, 0)</f>
        <v>0</v>
      </c>
      <c r="O59" s="12"/>
      <c r="P59" s="204"/>
      <c r="Q59" s="204"/>
      <c r="R59" s="204"/>
      <c r="S59" s="32"/>
      <c r="T59" s="45"/>
      <c r="U59" s="45"/>
      <c r="V59" s="45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E59" s="3"/>
      <c r="BF59" s="3"/>
      <c r="BG59" s="5"/>
      <c r="BH59" s="5"/>
    </row>
    <row r="60" spans="1:60" ht="15.6" hidden="1" customHeight="1" x14ac:dyDescent="0.25">
      <c r="A60" s="205" t="s">
        <v>158</v>
      </c>
      <c r="B60" s="206"/>
      <c r="C60" s="207"/>
      <c r="D60" s="207"/>
      <c r="E60" s="201"/>
      <c r="F60" s="152">
        <f>M59</f>
        <v>0</v>
      </c>
      <c r="G60" s="151"/>
      <c r="L60" s="1">
        <f>F3*2200+F4*500</f>
        <v>0</v>
      </c>
      <c r="M60" s="3">
        <v>0</v>
      </c>
      <c r="O60" s="12"/>
      <c r="P60" s="5"/>
      <c r="Q60" s="153"/>
      <c r="R60" s="153"/>
      <c r="S60" s="11"/>
      <c r="T60" s="45"/>
      <c r="U60" s="45"/>
      <c r="V60" s="45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E60" s="3"/>
      <c r="BF60" s="3"/>
      <c r="BG60" s="5"/>
      <c r="BH60" s="5"/>
    </row>
    <row r="61" spans="1:60" ht="15.6" hidden="1" customHeight="1" x14ac:dyDescent="0.25">
      <c r="A61" s="147"/>
      <c r="B61" s="147"/>
      <c r="C61" s="147"/>
      <c r="D61" s="147"/>
      <c r="E61" s="147"/>
      <c r="F61" s="151"/>
      <c r="G61" s="151"/>
      <c r="O61" s="12"/>
      <c r="T61" s="45"/>
      <c r="U61" s="45"/>
      <c r="V61" s="45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E61" s="3"/>
      <c r="BF61" s="3"/>
      <c r="BG61" s="5"/>
      <c r="BH61" s="5"/>
    </row>
    <row r="62" spans="1:60" ht="15.6" hidden="1" customHeight="1" x14ac:dyDescent="0.25">
      <c r="A62" s="205" t="s">
        <v>159</v>
      </c>
      <c r="B62" s="206"/>
      <c r="C62" s="207"/>
      <c r="D62" s="207"/>
      <c r="E62" s="201"/>
      <c r="F62" s="152">
        <f>F17</f>
        <v>0</v>
      </c>
      <c r="G62" s="154">
        <v>0</v>
      </c>
      <c r="O62" s="53"/>
      <c r="P62" s="12"/>
      <c r="Q62" s="12"/>
      <c r="R62" s="12"/>
      <c r="S62" s="12"/>
      <c r="T62" s="12"/>
      <c r="U62" s="12"/>
      <c r="V62" s="12"/>
      <c r="W62" s="3"/>
      <c r="X62" s="3"/>
      <c r="Y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E62" s="3"/>
      <c r="BF62" s="3"/>
      <c r="BG62" s="5"/>
      <c r="BH62" s="5"/>
    </row>
    <row r="63" spans="1:60" ht="15.6" hidden="1" customHeight="1" thickBot="1" x14ac:dyDescent="0.3">
      <c r="A63" s="147"/>
      <c r="B63" s="147"/>
      <c r="C63" s="147"/>
      <c r="D63" s="147"/>
      <c r="E63" s="147"/>
      <c r="F63" s="147"/>
      <c r="G63" s="147"/>
      <c r="O63" s="53"/>
      <c r="P63" s="12" t="s">
        <v>6</v>
      </c>
      <c r="Q63" s="53"/>
      <c r="R63" s="53"/>
      <c r="S63" s="12"/>
      <c r="T63" s="12"/>
      <c r="U63" s="12"/>
      <c r="V63" s="12"/>
      <c r="W63" s="3"/>
      <c r="X63" s="3"/>
      <c r="Y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E63" s="3"/>
      <c r="BF63" s="3"/>
      <c r="BG63" s="5"/>
      <c r="BH63" s="5"/>
    </row>
    <row r="64" spans="1:60" ht="15.6" hidden="1" customHeight="1" thickTop="1" x14ac:dyDescent="0.25">
      <c r="A64" s="208" t="s">
        <v>160</v>
      </c>
      <c r="B64" s="209"/>
      <c r="C64" s="210"/>
      <c r="D64" s="210"/>
      <c r="E64" s="155">
        <f>F56-F58-F60-F62</f>
        <v>0</v>
      </c>
      <c r="F64" s="156">
        <f>IF(E64 &gt; 0, E64, 0)</f>
        <v>0</v>
      </c>
      <c r="G64" s="157">
        <f>IF(F64 &gt; 0, F64, 0)</f>
        <v>0</v>
      </c>
      <c r="P64" s="3"/>
      <c r="Q64" s="53"/>
      <c r="R64" s="12"/>
      <c r="S64" s="12"/>
      <c r="T64" s="12"/>
      <c r="U64" s="12"/>
      <c r="V64" s="12"/>
      <c r="W64" s="3"/>
      <c r="X64" s="3"/>
      <c r="Y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E64" s="3"/>
      <c r="BF64" s="3"/>
      <c r="BG64" s="5"/>
      <c r="BH64" s="5"/>
    </row>
    <row r="65" spans="1:60" ht="15.6" hidden="1" customHeight="1" thickBot="1" x14ac:dyDescent="0.3">
      <c r="O65" s="53" t="s">
        <v>6</v>
      </c>
      <c r="P65" s="12"/>
      <c r="Q65" s="12"/>
      <c r="R65" s="12"/>
      <c r="S65" s="12"/>
      <c r="T65" s="12"/>
      <c r="U65" s="12"/>
      <c r="V65" s="5"/>
      <c r="W65" s="5"/>
      <c r="X65" s="5"/>
      <c r="Y65" s="5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E65" s="3"/>
      <c r="BF65" s="3"/>
      <c r="BG65" s="5"/>
      <c r="BH65" s="5"/>
    </row>
    <row r="66" spans="1:60" ht="15.6" hidden="1" customHeight="1" thickTop="1" x14ac:dyDescent="0.25">
      <c r="A66" s="211" t="s">
        <v>161</v>
      </c>
      <c r="B66" s="212"/>
      <c r="C66" s="213"/>
      <c r="D66" s="213"/>
      <c r="E66" s="214"/>
      <c r="F66" s="158">
        <f>F64*1.05</f>
        <v>0</v>
      </c>
      <c r="G66" s="159">
        <f>G64*1.1</f>
        <v>0</v>
      </c>
      <c r="O66" s="53" t="s">
        <v>6</v>
      </c>
      <c r="P66" s="12"/>
      <c r="Q66" s="12"/>
      <c r="R66" s="12"/>
      <c r="S66" s="12"/>
      <c r="T66" s="12"/>
      <c r="U66" s="12"/>
      <c r="V66" s="5"/>
      <c r="W66" s="5"/>
      <c r="X66" s="5"/>
      <c r="Y66" s="5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E66" s="3"/>
      <c r="BF66" s="3"/>
      <c r="BG66" s="5"/>
      <c r="BH66" s="5"/>
    </row>
    <row r="67" spans="1:60" ht="15.6" hidden="1" customHeight="1" x14ac:dyDescent="0.25">
      <c r="P67" s="3"/>
      <c r="Q67" s="3"/>
      <c r="R67" s="3"/>
      <c r="S67" s="3"/>
      <c r="T67" s="3"/>
      <c r="U67" s="3"/>
      <c r="V67" s="3"/>
      <c r="W67" s="3"/>
      <c r="X67" s="3"/>
      <c r="Y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E67" s="3"/>
      <c r="BF67" s="3"/>
      <c r="BG67" s="5"/>
      <c r="BH67" s="5"/>
    </row>
    <row r="68" spans="1:60" ht="15.6" hidden="1" customHeight="1" x14ac:dyDescent="0.25">
      <c r="A68" s="200" t="s">
        <v>64</v>
      </c>
      <c r="B68" s="201"/>
      <c r="C68" s="160">
        <f>AJ9</f>
        <v>0.1</v>
      </c>
      <c r="D68" s="202" t="s">
        <v>162</v>
      </c>
      <c r="E68" s="203"/>
      <c r="F68" s="160">
        <f>F56/F47</f>
        <v>0</v>
      </c>
      <c r="G68" s="160" t="e">
        <f>G56/G18</f>
        <v>#REF!</v>
      </c>
      <c r="H68" s="161">
        <f>C68</f>
        <v>0.1</v>
      </c>
      <c r="T68" s="3"/>
      <c r="U68" s="3"/>
      <c r="V68" s="3"/>
      <c r="W68" s="3"/>
      <c r="X68" s="3"/>
      <c r="Y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E68" s="3"/>
      <c r="BF68" s="3"/>
      <c r="BG68" s="5"/>
      <c r="BH68" s="5"/>
    </row>
    <row r="69" spans="1:60" x14ac:dyDescent="0.25">
      <c r="A69" s="1"/>
      <c r="B69" s="1"/>
      <c r="C69" s="1"/>
      <c r="D69" s="1"/>
      <c r="E69" s="1"/>
      <c r="F69" s="1"/>
      <c r="G69" s="1"/>
      <c r="P69" s="12"/>
      <c r="Q69" s="12"/>
      <c r="R69" s="12"/>
      <c r="S69" s="3"/>
      <c r="T69" s="3"/>
      <c r="U69" s="3"/>
      <c r="V69" s="3"/>
      <c r="W69" s="3"/>
      <c r="X69" s="3"/>
      <c r="Y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E69" s="3"/>
      <c r="BF69" s="3"/>
      <c r="BG69" s="5"/>
      <c r="BH69" s="5"/>
    </row>
    <row r="70" spans="1:60" x14ac:dyDescent="0.25">
      <c r="A70" s="1"/>
      <c r="B70" s="1"/>
      <c r="C70" s="1"/>
      <c r="D70" s="1"/>
      <c r="E70" s="1"/>
      <c r="F70" s="1"/>
      <c r="G70" s="1"/>
      <c r="O70" s="12"/>
      <c r="T70" s="3"/>
      <c r="U70" s="3"/>
      <c r="V70" s="3"/>
      <c r="W70" s="3"/>
      <c r="X70" s="3"/>
      <c r="Y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E70" s="3"/>
      <c r="BF70" s="3"/>
      <c r="BG70" s="5"/>
      <c r="BH70" s="5"/>
    </row>
    <row r="71" spans="1:60" x14ac:dyDescent="0.25">
      <c r="A71" s="1"/>
      <c r="B71" s="1"/>
      <c r="C71" s="1"/>
      <c r="D71" s="1"/>
      <c r="E71" s="1"/>
      <c r="F71" s="1"/>
      <c r="G71" s="1"/>
      <c r="O71" s="12"/>
      <c r="P71" s="162"/>
      <c r="Q71" s="162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E71" s="3"/>
      <c r="BF71" s="3"/>
      <c r="BG71" s="5"/>
      <c r="BH71" s="5"/>
    </row>
    <row r="72" spans="1:60" x14ac:dyDescent="0.25">
      <c r="A72" s="1"/>
      <c r="B72" s="1"/>
      <c r="C72" s="1"/>
      <c r="D72" s="1"/>
      <c r="E72" s="1"/>
      <c r="F72" s="1"/>
      <c r="G72" s="1"/>
      <c r="O72" s="12"/>
      <c r="P72" s="162"/>
      <c r="Q72" s="162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E72" s="3"/>
      <c r="BF72" s="3"/>
      <c r="BG72" s="5"/>
      <c r="BH72" s="5"/>
    </row>
    <row r="73" spans="1:60" x14ac:dyDescent="0.25">
      <c r="A73" s="1"/>
      <c r="B73" s="1"/>
      <c r="C73" s="1"/>
      <c r="D73" s="1"/>
      <c r="E73" s="1"/>
      <c r="F73" s="1"/>
      <c r="G73" s="1"/>
      <c r="O73" s="12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E73" s="3"/>
      <c r="BF73" s="3"/>
      <c r="BG73" s="5"/>
      <c r="BH73" s="5"/>
    </row>
    <row r="74" spans="1:60" x14ac:dyDescent="0.25">
      <c r="A74" s="1"/>
      <c r="B74" s="1"/>
      <c r="C74" s="1"/>
      <c r="D74" s="1"/>
      <c r="E74" s="1"/>
      <c r="F74" s="1"/>
      <c r="G74" s="1"/>
      <c r="O74" s="12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E74" s="3"/>
      <c r="BF74" s="3"/>
      <c r="BG74" s="5"/>
      <c r="BH74" s="5"/>
    </row>
    <row r="75" spans="1:60" x14ac:dyDescent="0.25">
      <c r="A75" s="1"/>
      <c r="B75" s="1"/>
      <c r="C75" s="1"/>
      <c r="D75" s="1"/>
      <c r="E75" s="1"/>
      <c r="F75" s="1"/>
      <c r="G75" s="1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E75" s="3"/>
      <c r="BF75" s="3"/>
      <c r="BG75" s="5"/>
      <c r="BH75" s="5"/>
    </row>
    <row r="76" spans="1:60" x14ac:dyDescent="0.25">
      <c r="A76" s="1"/>
      <c r="B76" s="1"/>
      <c r="C76" s="1"/>
      <c r="D76" s="1"/>
      <c r="E76" s="1"/>
      <c r="F76" s="1"/>
      <c r="G76" s="1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E76" s="3"/>
      <c r="BF76" s="3"/>
      <c r="BG76" s="5"/>
      <c r="BH76" s="5"/>
    </row>
    <row r="77" spans="1:60" x14ac:dyDescent="0.25">
      <c r="A77" s="1"/>
      <c r="B77" s="1"/>
      <c r="C77" s="1"/>
      <c r="D77" s="1"/>
      <c r="E77" s="1"/>
      <c r="F77" s="1"/>
      <c r="G77" s="1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E77" s="3"/>
      <c r="BF77" s="3"/>
      <c r="BG77" s="5"/>
      <c r="BH77" s="5"/>
    </row>
    <row r="78" spans="1:60" s="1" customFormat="1" x14ac:dyDescent="0.25">
      <c r="M78" s="3"/>
      <c r="N78" s="2"/>
      <c r="O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</row>
    <row r="79" spans="1:60" s="1" customFormat="1" x14ac:dyDescent="0.25">
      <c r="M79" s="3"/>
      <c r="N79" s="2"/>
      <c r="O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</row>
    <row r="80" spans="1:60" s="1" customFormat="1" x14ac:dyDescent="0.25">
      <c r="M80" s="3"/>
      <c r="N80" s="2"/>
      <c r="O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  <c r="BE80" s="3"/>
      <c r="BF80" s="3"/>
      <c r="BG80" s="3"/>
      <c r="BH80" s="3"/>
    </row>
    <row r="81" spans="13:60" s="1" customFormat="1" x14ac:dyDescent="0.25">
      <c r="M81" s="3"/>
      <c r="N81" s="2"/>
      <c r="O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</row>
    <row r="82" spans="13:60" s="1" customFormat="1" x14ac:dyDescent="0.25">
      <c r="M82" s="3"/>
      <c r="N82" s="2"/>
      <c r="O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</row>
    <row r="83" spans="13:60" s="1" customFormat="1" x14ac:dyDescent="0.25">
      <c r="M83" s="3"/>
      <c r="N83" s="2"/>
      <c r="O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</row>
    <row r="84" spans="13:60" s="1" customFormat="1" x14ac:dyDescent="0.25">
      <c r="M84" s="3"/>
      <c r="N84" s="2"/>
      <c r="O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  <c r="AV84" s="3"/>
      <c r="AW84" s="3"/>
      <c r="AX84" s="3"/>
      <c r="AY84" s="3"/>
      <c r="AZ84" s="3"/>
      <c r="BA84" s="3"/>
      <c r="BB84" s="3"/>
      <c r="BC84" s="3"/>
      <c r="BD84" s="3"/>
      <c r="BE84" s="3"/>
      <c r="BF84" s="3"/>
      <c r="BG84" s="3"/>
      <c r="BH84" s="3"/>
    </row>
    <row r="85" spans="13:60" s="1" customFormat="1" x14ac:dyDescent="0.25">
      <c r="M85" s="3"/>
      <c r="N85" s="2"/>
      <c r="O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  <c r="AU85" s="3"/>
      <c r="AV85" s="3"/>
      <c r="AW85" s="3"/>
      <c r="AX85" s="3"/>
      <c r="AY85" s="3"/>
      <c r="AZ85" s="3"/>
      <c r="BA85" s="3"/>
      <c r="BB85" s="3"/>
      <c r="BC85" s="3"/>
      <c r="BD85" s="3"/>
      <c r="BE85" s="3"/>
      <c r="BF85" s="3"/>
      <c r="BG85" s="3"/>
      <c r="BH85" s="3"/>
    </row>
    <row r="86" spans="13:60" s="1" customFormat="1" x14ac:dyDescent="0.25">
      <c r="M86" s="3"/>
      <c r="N86" s="2"/>
      <c r="O86" s="3"/>
      <c r="AC86" s="3"/>
      <c r="AD86" s="3"/>
      <c r="AE86" s="3"/>
      <c r="AF86" s="3"/>
      <c r="AG86" s="3"/>
      <c r="BB86" s="3"/>
      <c r="BC86" s="3"/>
      <c r="BD86" s="3"/>
    </row>
    <row r="87" spans="13:60" s="1" customFormat="1" x14ac:dyDescent="0.25">
      <c r="M87" s="3"/>
      <c r="N87" s="2"/>
      <c r="O87" s="3"/>
      <c r="AC87" s="3"/>
      <c r="AD87" s="3"/>
      <c r="AE87" s="3"/>
      <c r="AF87" s="3"/>
      <c r="AG87" s="3"/>
      <c r="BB87" s="3"/>
      <c r="BC87" s="3"/>
      <c r="BD87" s="3"/>
    </row>
    <row r="88" spans="13:60" s="1" customFormat="1" x14ac:dyDescent="0.25">
      <c r="M88" s="3"/>
      <c r="N88" s="2"/>
      <c r="O88" s="3"/>
      <c r="AC88" s="3"/>
      <c r="AD88" s="3"/>
      <c r="AE88" s="3"/>
      <c r="AF88" s="3"/>
      <c r="AG88" s="3"/>
      <c r="BB88" s="3"/>
      <c r="BC88" s="3"/>
      <c r="BD88" s="3"/>
    </row>
    <row r="89" spans="13:60" s="1" customFormat="1" x14ac:dyDescent="0.25">
      <c r="M89" s="3"/>
      <c r="N89" s="2"/>
      <c r="O89" s="3"/>
      <c r="AC89" s="3"/>
      <c r="AD89" s="3"/>
      <c r="AE89" s="3"/>
      <c r="AF89" s="3"/>
      <c r="AG89" s="3"/>
      <c r="BB89" s="3"/>
      <c r="BC89" s="3"/>
      <c r="BD89" s="3"/>
    </row>
    <row r="90" spans="13:60" s="1" customFormat="1" x14ac:dyDescent="0.25">
      <c r="M90" s="3"/>
      <c r="N90" s="2"/>
      <c r="O90" s="3"/>
      <c r="AC90" s="3"/>
      <c r="AD90" s="3"/>
      <c r="AE90" s="3"/>
      <c r="AF90" s="3"/>
      <c r="AG90" s="3"/>
      <c r="BB90" s="3"/>
      <c r="BC90" s="3"/>
      <c r="BD90" s="3"/>
    </row>
    <row r="91" spans="13:60" s="1" customFormat="1" x14ac:dyDescent="0.25">
      <c r="M91" s="3"/>
      <c r="N91" s="2"/>
      <c r="O91" s="3"/>
      <c r="AC91" s="3"/>
      <c r="AD91" s="3"/>
      <c r="AE91" s="3"/>
      <c r="AF91" s="3"/>
      <c r="AG91" s="3"/>
      <c r="BB91" s="3"/>
      <c r="BC91" s="3"/>
      <c r="BD91" s="3"/>
    </row>
    <row r="92" spans="13:60" s="1" customFormat="1" x14ac:dyDescent="0.25">
      <c r="M92" s="3"/>
      <c r="N92" s="2"/>
      <c r="O92" s="3"/>
      <c r="AC92" s="3"/>
      <c r="AD92" s="3"/>
      <c r="AE92" s="3"/>
      <c r="AF92" s="3"/>
      <c r="AG92" s="3"/>
      <c r="BB92" s="3"/>
      <c r="BC92" s="3"/>
      <c r="BD92" s="3"/>
    </row>
    <row r="93" spans="13:60" s="1" customFormat="1" x14ac:dyDescent="0.25">
      <c r="M93" s="3"/>
      <c r="N93" s="2"/>
      <c r="O93" s="3"/>
      <c r="AC93" s="3"/>
      <c r="AD93" s="3"/>
      <c r="AE93" s="3"/>
      <c r="AF93" s="3"/>
      <c r="AG93" s="3"/>
      <c r="BB93" s="3"/>
      <c r="BC93" s="3"/>
      <c r="BD93" s="3"/>
    </row>
    <row r="94" spans="13:60" s="1" customFormat="1" x14ac:dyDescent="0.25">
      <c r="M94" s="3"/>
      <c r="N94" s="2"/>
      <c r="O94" s="3"/>
      <c r="AC94" s="3"/>
      <c r="AD94" s="3"/>
      <c r="AE94" s="3"/>
      <c r="AF94" s="3"/>
      <c r="AG94" s="3"/>
      <c r="BB94" s="3"/>
      <c r="BC94" s="3"/>
      <c r="BD94" s="3"/>
    </row>
    <row r="95" spans="13:60" s="1" customFormat="1" x14ac:dyDescent="0.25">
      <c r="M95" s="3"/>
      <c r="N95" s="2"/>
      <c r="O95" s="3"/>
      <c r="AC95" s="3"/>
      <c r="AD95" s="3"/>
      <c r="AE95" s="3"/>
      <c r="AF95" s="3"/>
      <c r="AG95" s="3"/>
      <c r="BB95" s="3"/>
      <c r="BC95" s="3"/>
      <c r="BD95" s="3"/>
    </row>
    <row r="96" spans="13:60" s="1" customFormat="1" x14ac:dyDescent="0.25">
      <c r="M96" s="3"/>
      <c r="N96" s="2"/>
      <c r="O96" s="3"/>
      <c r="AC96" s="3"/>
      <c r="AD96" s="3"/>
      <c r="AE96" s="3"/>
      <c r="AF96" s="3"/>
      <c r="AG96" s="3"/>
      <c r="BB96" s="3"/>
      <c r="BC96" s="3"/>
      <c r="BD96" s="3"/>
    </row>
    <row r="97" spans="13:56" s="1" customFormat="1" x14ac:dyDescent="0.25">
      <c r="M97" s="3"/>
      <c r="N97" s="2"/>
      <c r="O97" s="3"/>
      <c r="AC97" s="3"/>
      <c r="AD97" s="3"/>
      <c r="AE97" s="3"/>
      <c r="AF97" s="3"/>
      <c r="AG97" s="3"/>
      <c r="BB97" s="3"/>
      <c r="BC97" s="3"/>
      <c r="BD97" s="3"/>
    </row>
    <row r="98" spans="13:56" s="1" customFormat="1" x14ac:dyDescent="0.25">
      <c r="M98" s="3"/>
      <c r="N98" s="2"/>
      <c r="O98" s="3"/>
      <c r="AC98" s="3"/>
      <c r="AD98" s="3"/>
      <c r="AE98" s="3"/>
      <c r="AF98" s="3"/>
      <c r="AG98" s="3"/>
      <c r="BB98" s="3"/>
      <c r="BC98" s="3"/>
      <c r="BD98" s="3"/>
    </row>
    <row r="99" spans="13:56" s="1" customFormat="1" x14ac:dyDescent="0.25">
      <c r="M99" s="3"/>
      <c r="N99" s="2"/>
      <c r="O99" s="3"/>
      <c r="AC99" s="3"/>
      <c r="AD99" s="3"/>
      <c r="AE99" s="3"/>
      <c r="AF99" s="3"/>
      <c r="AG99" s="3"/>
      <c r="BB99" s="3"/>
      <c r="BC99" s="3"/>
      <c r="BD99" s="3"/>
    </row>
    <row r="100" spans="13:56" s="1" customFormat="1" x14ac:dyDescent="0.25">
      <c r="M100" s="3"/>
      <c r="N100" s="2"/>
      <c r="O100" s="3"/>
      <c r="AC100" s="3"/>
      <c r="AD100" s="3"/>
      <c r="AE100" s="3"/>
      <c r="AF100" s="3"/>
      <c r="AG100" s="3"/>
      <c r="BB100" s="3"/>
      <c r="BC100" s="3"/>
      <c r="BD100" s="3"/>
    </row>
    <row r="101" spans="13:56" s="1" customFormat="1" x14ac:dyDescent="0.25">
      <c r="M101" s="3"/>
      <c r="N101" s="2"/>
      <c r="O101" s="3"/>
      <c r="AC101" s="3"/>
      <c r="AD101" s="3"/>
      <c r="AE101" s="3"/>
      <c r="AF101" s="3"/>
      <c r="AG101" s="3"/>
      <c r="BB101" s="3"/>
      <c r="BC101" s="3"/>
      <c r="BD101" s="3"/>
    </row>
    <row r="102" spans="13:56" s="1" customFormat="1" x14ac:dyDescent="0.25">
      <c r="M102" s="3"/>
      <c r="N102" s="2"/>
      <c r="O102" s="3"/>
      <c r="AC102" s="3"/>
      <c r="AD102" s="3"/>
      <c r="AE102" s="3"/>
      <c r="AF102" s="3"/>
      <c r="AG102" s="3"/>
      <c r="BB102" s="3"/>
      <c r="BC102" s="3"/>
      <c r="BD102" s="3"/>
    </row>
    <row r="103" spans="13:56" s="1" customFormat="1" x14ac:dyDescent="0.25">
      <c r="M103" s="3"/>
      <c r="N103" s="2"/>
      <c r="O103" s="3"/>
      <c r="AC103" s="3"/>
      <c r="AD103" s="3"/>
      <c r="AE103" s="3"/>
      <c r="AF103" s="3"/>
      <c r="AG103" s="3"/>
      <c r="BB103" s="3"/>
      <c r="BC103" s="3"/>
      <c r="BD103" s="3"/>
    </row>
    <row r="104" spans="13:56" s="1" customFormat="1" x14ac:dyDescent="0.25">
      <c r="M104" s="3"/>
      <c r="N104" s="2"/>
      <c r="O104" s="3"/>
      <c r="AC104" s="3"/>
      <c r="AD104" s="3"/>
      <c r="AE104" s="3"/>
      <c r="AF104" s="3"/>
      <c r="AG104" s="3"/>
      <c r="BB104" s="3"/>
      <c r="BC104" s="3"/>
      <c r="BD104" s="3"/>
    </row>
    <row r="105" spans="13:56" s="1" customFormat="1" x14ac:dyDescent="0.25">
      <c r="M105" s="3"/>
      <c r="N105" s="2"/>
      <c r="O105" s="3"/>
      <c r="AC105" s="3"/>
      <c r="AD105" s="3"/>
      <c r="AE105" s="3"/>
      <c r="AF105" s="3"/>
      <c r="AG105" s="3"/>
      <c r="BB105" s="3"/>
      <c r="BC105" s="3"/>
      <c r="BD105" s="3"/>
    </row>
    <row r="106" spans="13:56" s="1" customFormat="1" x14ac:dyDescent="0.25">
      <c r="M106" s="3"/>
      <c r="N106" s="2"/>
      <c r="O106" s="3"/>
      <c r="AC106" s="3"/>
      <c r="AD106" s="3"/>
      <c r="AE106" s="3"/>
      <c r="AF106" s="3"/>
      <c r="AG106" s="3"/>
      <c r="BB106" s="3"/>
      <c r="BC106" s="3"/>
      <c r="BD106" s="3"/>
    </row>
    <row r="107" spans="13:56" s="1" customFormat="1" x14ac:dyDescent="0.25">
      <c r="M107" s="3"/>
      <c r="N107" s="2"/>
      <c r="O107" s="3"/>
      <c r="BB107" s="3"/>
      <c r="BC107" s="3"/>
      <c r="BD107" s="3"/>
    </row>
    <row r="108" spans="13:56" s="1" customFormat="1" x14ac:dyDescent="0.25">
      <c r="M108" s="3"/>
      <c r="N108" s="2"/>
      <c r="O108" s="3"/>
      <c r="BB108" s="3"/>
      <c r="BC108" s="3"/>
      <c r="BD108" s="3"/>
    </row>
    <row r="109" spans="13:56" s="1" customFormat="1" x14ac:dyDescent="0.25">
      <c r="M109" s="3"/>
      <c r="N109" s="2"/>
      <c r="O109" s="3"/>
      <c r="BB109" s="3"/>
      <c r="BC109" s="3"/>
      <c r="BD109" s="3"/>
    </row>
    <row r="110" spans="13:56" s="1" customFormat="1" x14ac:dyDescent="0.25">
      <c r="M110" s="3"/>
      <c r="N110" s="2"/>
      <c r="O110" s="3"/>
      <c r="BB110" s="3"/>
      <c r="BC110" s="3"/>
      <c r="BD110" s="3"/>
    </row>
    <row r="111" spans="13:56" s="1" customFormat="1" x14ac:dyDescent="0.25">
      <c r="M111" s="3"/>
      <c r="N111" s="2"/>
      <c r="O111" s="3"/>
      <c r="BB111" s="3"/>
      <c r="BC111" s="3"/>
      <c r="BD111" s="3"/>
    </row>
    <row r="112" spans="13:56" s="1" customFormat="1" x14ac:dyDescent="0.25">
      <c r="M112" s="3"/>
      <c r="N112" s="2"/>
      <c r="O112" s="3"/>
      <c r="BB112" s="3"/>
      <c r="BC112" s="3"/>
      <c r="BD112" s="3"/>
    </row>
    <row r="113" spans="13:56" s="1" customFormat="1" x14ac:dyDescent="0.25">
      <c r="M113" s="3"/>
      <c r="N113" s="2"/>
      <c r="O113" s="3"/>
      <c r="BB113" s="3"/>
      <c r="BC113" s="3"/>
      <c r="BD113" s="3"/>
    </row>
    <row r="114" spans="13:56" s="1" customFormat="1" x14ac:dyDescent="0.25">
      <c r="M114" s="3"/>
      <c r="N114" s="2"/>
      <c r="O114" s="3"/>
      <c r="BB114" s="3"/>
      <c r="BC114" s="3"/>
      <c r="BD114" s="3"/>
    </row>
    <row r="115" spans="13:56" s="1" customFormat="1" x14ac:dyDescent="0.25">
      <c r="M115" s="3"/>
      <c r="N115" s="2"/>
      <c r="O115" s="3"/>
      <c r="BB115" s="3"/>
      <c r="BC115" s="3"/>
      <c r="BD115" s="3"/>
    </row>
    <row r="116" spans="13:56" s="1" customFormat="1" x14ac:dyDescent="0.25">
      <c r="M116" s="3"/>
      <c r="N116" s="2"/>
      <c r="O116" s="3"/>
      <c r="BB116" s="3"/>
      <c r="BC116" s="3"/>
      <c r="BD116" s="3"/>
    </row>
    <row r="117" spans="13:56" s="1" customFormat="1" x14ac:dyDescent="0.25">
      <c r="M117" s="3"/>
      <c r="N117" s="2"/>
      <c r="O117" s="3"/>
      <c r="BB117" s="3"/>
      <c r="BC117" s="3"/>
      <c r="BD117" s="3"/>
    </row>
    <row r="118" spans="13:56" s="1" customFormat="1" x14ac:dyDescent="0.25">
      <c r="M118" s="3"/>
      <c r="N118" s="2"/>
      <c r="O118" s="3"/>
      <c r="BB118" s="3"/>
      <c r="BC118" s="3"/>
      <c r="BD118" s="3"/>
    </row>
    <row r="119" spans="13:56" s="1" customFormat="1" x14ac:dyDescent="0.25">
      <c r="M119" s="3"/>
      <c r="N119" s="2"/>
      <c r="O119" s="3"/>
      <c r="BB119" s="3"/>
      <c r="BC119" s="3"/>
      <c r="BD119" s="3"/>
    </row>
    <row r="120" spans="13:56" s="1" customFormat="1" x14ac:dyDescent="0.25">
      <c r="M120" s="3"/>
      <c r="N120" s="2"/>
      <c r="O120" s="3"/>
      <c r="BB120" s="3"/>
      <c r="BC120" s="3"/>
      <c r="BD120" s="3"/>
    </row>
    <row r="121" spans="13:56" s="1" customFormat="1" x14ac:dyDescent="0.25">
      <c r="M121" s="3"/>
      <c r="N121" s="2"/>
      <c r="O121" s="3"/>
      <c r="BB121" s="3"/>
      <c r="BC121" s="3"/>
      <c r="BD121" s="3"/>
    </row>
    <row r="122" spans="13:56" s="1" customFormat="1" x14ac:dyDescent="0.25">
      <c r="M122" s="3"/>
      <c r="N122" s="2"/>
      <c r="O122" s="3"/>
      <c r="BB122" s="3"/>
      <c r="BC122" s="3"/>
      <c r="BD122" s="3"/>
    </row>
    <row r="123" spans="13:56" s="1" customFormat="1" x14ac:dyDescent="0.25">
      <c r="M123" s="3"/>
      <c r="N123" s="2"/>
      <c r="O123" s="3"/>
      <c r="BB123" s="3"/>
      <c r="BC123" s="3"/>
      <c r="BD123" s="3"/>
    </row>
    <row r="124" spans="13:56" s="1" customFormat="1" x14ac:dyDescent="0.25">
      <c r="M124" s="3"/>
      <c r="N124" s="2"/>
      <c r="O124" s="3"/>
      <c r="BB124" s="3"/>
      <c r="BC124" s="3"/>
      <c r="BD124" s="3"/>
    </row>
    <row r="125" spans="13:56" s="1" customFormat="1" x14ac:dyDescent="0.25">
      <c r="M125" s="3"/>
      <c r="N125" s="2"/>
      <c r="O125" s="3"/>
      <c r="BB125" s="3"/>
      <c r="BC125" s="3"/>
      <c r="BD125" s="3"/>
    </row>
    <row r="126" spans="13:56" s="1" customFormat="1" x14ac:dyDescent="0.25">
      <c r="M126" s="3"/>
      <c r="N126" s="2"/>
      <c r="O126" s="3"/>
      <c r="BB126" s="3"/>
      <c r="BC126" s="3"/>
      <c r="BD126" s="3"/>
    </row>
    <row r="127" spans="13:56" s="1" customFormat="1" x14ac:dyDescent="0.25">
      <c r="M127" s="3"/>
      <c r="N127" s="2"/>
      <c r="O127" s="3"/>
      <c r="BB127" s="3"/>
      <c r="BC127" s="3"/>
      <c r="BD127" s="3"/>
    </row>
    <row r="128" spans="13:56" s="1" customFormat="1" x14ac:dyDescent="0.25">
      <c r="M128" s="3"/>
      <c r="N128" s="2"/>
      <c r="O128" s="3"/>
      <c r="BB128" s="3"/>
      <c r="BC128" s="3"/>
      <c r="BD128" s="3"/>
    </row>
    <row r="129" spans="13:56" s="1" customFormat="1" x14ac:dyDescent="0.25">
      <c r="M129" s="3"/>
      <c r="N129" s="2"/>
      <c r="O129" s="3"/>
      <c r="BB129" s="3"/>
      <c r="BC129" s="3"/>
      <c r="BD129" s="3"/>
    </row>
    <row r="130" spans="13:56" s="1" customFormat="1" x14ac:dyDescent="0.25">
      <c r="M130" s="3"/>
      <c r="N130" s="2"/>
      <c r="O130" s="3"/>
      <c r="BB130" s="3"/>
      <c r="BC130" s="3"/>
      <c r="BD130" s="3"/>
    </row>
    <row r="131" spans="13:56" s="1" customFormat="1" x14ac:dyDescent="0.25">
      <c r="M131" s="3"/>
      <c r="N131" s="2"/>
      <c r="O131" s="3"/>
      <c r="BB131" s="3"/>
      <c r="BC131" s="3"/>
      <c r="BD131" s="3"/>
    </row>
    <row r="132" spans="13:56" s="1" customFormat="1" x14ac:dyDescent="0.25">
      <c r="M132" s="3"/>
      <c r="N132" s="2"/>
      <c r="O132" s="3"/>
      <c r="BB132" s="3"/>
      <c r="BC132" s="3"/>
      <c r="BD132" s="3"/>
    </row>
    <row r="133" spans="13:56" s="1" customFormat="1" x14ac:dyDescent="0.25">
      <c r="M133" s="3"/>
      <c r="N133" s="2"/>
      <c r="O133" s="3"/>
      <c r="BB133" s="3"/>
      <c r="BC133" s="3"/>
      <c r="BD133" s="3"/>
    </row>
    <row r="134" spans="13:56" s="1" customFormat="1" x14ac:dyDescent="0.25">
      <c r="M134" s="3"/>
      <c r="N134" s="2"/>
      <c r="O134" s="3"/>
      <c r="BB134" s="3"/>
      <c r="BC134" s="3"/>
      <c r="BD134" s="3"/>
    </row>
    <row r="135" spans="13:56" s="1" customFormat="1" x14ac:dyDescent="0.25">
      <c r="M135" s="3"/>
      <c r="N135" s="2"/>
      <c r="O135" s="3"/>
      <c r="BB135" s="3"/>
      <c r="BC135" s="3"/>
      <c r="BD135" s="3"/>
    </row>
    <row r="136" spans="13:56" s="1" customFormat="1" x14ac:dyDescent="0.25">
      <c r="M136" s="3"/>
      <c r="N136" s="2"/>
      <c r="O136" s="3"/>
      <c r="BB136" s="3"/>
      <c r="BC136" s="3"/>
      <c r="BD136" s="3"/>
    </row>
    <row r="137" spans="13:56" s="1" customFormat="1" x14ac:dyDescent="0.25">
      <c r="M137" s="3"/>
      <c r="N137" s="2"/>
      <c r="O137" s="3"/>
      <c r="BB137" s="3"/>
      <c r="BC137" s="3"/>
      <c r="BD137" s="3"/>
    </row>
    <row r="138" spans="13:56" s="1" customFormat="1" x14ac:dyDescent="0.25">
      <c r="M138" s="3"/>
      <c r="N138" s="2"/>
      <c r="O138" s="3"/>
      <c r="BB138" s="3"/>
      <c r="BC138" s="3"/>
      <c r="BD138" s="3"/>
    </row>
    <row r="139" spans="13:56" s="1" customFormat="1" x14ac:dyDescent="0.25">
      <c r="M139" s="3"/>
      <c r="N139" s="2"/>
      <c r="O139" s="3"/>
      <c r="BB139" s="3"/>
      <c r="BC139" s="3"/>
      <c r="BD139" s="3"/>
    </row>
    <row r="140" spans="13:56" s="1" customFormat="1" x14ac:dyDescent="0.25">
      <c r="M140" s="3"/>
      <c r="N140" s="2"/>
      <c r="O140" s="3"/>
      <c r="BB140" s="3"/>
      <c r="BC140" s="3"/>
      <c r="BD140" s="3"/>
    </row>
    <row r="141" spans="13:56" s="1" customFormat="1" x14ac:dyDescent="0.25">
      <c r="M141" s="3"/>
      <c r="N141" s="2"/>
      <c r="O141" s="3"/>
      <c r="BB141" s="3"/>
      <c r="BC141" s="3"/>
      <c r="BD141" s="3"/>
    </row>
    <row r="142" spans="13:56" s="1" customFormat="1" x14ac:dyDescent="0.25">
      <c r="M142" s="3"/>
      <c r="N142" s="2"/>
      <c r="O142" s="3"/>
      <c r="BB142" s="3"/>
      <c r="BC142" s="3"/>
      <c r="BD142" s="3"/>
    </row>
    <row r="143" spans="13:56" s="1" customFormat="1" x14ac:dyDescent="0.25">
      <c r="M143" s="3"/>
      <c r="N143" s="2"/>
      <c r="O143" s="3"/>
      <c r="BB143" s="3"/>
      <c r="BC143" s="3"/>
      <c r="BD143" s="3"/>
    </row>
    <row r="144" spans="13:56" s="1" customFormat="1" x14ac:dyDescent="0.25">
      <c r="M144" s="3"/>
      <c r="N144" s="2"/>
      <c r="O144" s="3"/>
      <c r="BB144" s="3"/>
      <c r="BC144" s="3"/>
      <c r="BD144" s="3"/>
    </row>
    <row r="145" spans="13:56" s="1" customFormat="1" x14ac:dyDescent="0.25">
      <c r="M145" s="3"/>
      <c r="N145" s="2"/>
      <c r="O145" s="3"/>
      <c r="BB145" s="3"/>
      <c r="BC145" s="3"/>
      <c r="BD145" s="3"/>
    </row>
    <row r="146" spans="13:56" s="1" customFormat="1" x14ac:dyDescent="0.25">
      <c r="M146" s="3"/>
      <c r="N146" s="2"/>
      <c r="O146" s="3"/>
      <c r="BB146" s="3"/>
      <c r="BC146" s="3"/>
      <c r="BD146" s="3"/>
    </row>
    <row r="147" spans="13:56" s="1" customFormat="1" x14ac:dyDescent="0.25">
      <c r="M147" s="3"/>
      <c r="N147" s="2"/>
      <c r="O147" s="3"/>
      <c r="BB147" s="3"/>
      <c r="BC147" s="3"/>
      <c r="BD147" s="3"/>
    </row>
    <row r="148" spans="13:56" s="1" customFormat="1" x14ac:dyDescent="0.25">
      <c r="M148" s="3"/>
      <c r="N148" s="2"/>
      <c r="O148" s="3"/>
      <c r="BB148" s="3"/>
      <c r="BC148" s="3"/>
      <c r="BD148" s="3"/>
    </row>
    <row r="149" spans="13:56" s="1" customFormat="1" x14ac:dyDescent="0.25">
      <c r="M149" s="3"/>
      <c r="N149" s="2"/>
      <c r="O149" s="3"/>
      <c r="BB149" s="3"/>
      <c r="BC149" s="3"/>
      <c r="BD149" s="3"/>
    </row>
    <row r="150" spans="13:56" s="1" customFormat="1" x14ac:dyDescent="0.25">
      <c r="M150" s="3"/>
      <c r="N150" s="2"/>
      <c r="O150" s="3"/>
      <c r="BB150" s="3"/>
      <c r="BC150" s="3"/>
      <c r="BD150" s="3"/>
    </row>
    <row r="151" spans="13:56" s="1" customFormat="1" x14ac:dyDescent="0.25">
      <c r="M151" s="3"/>
      <c r="N151" s="2"/>
      <c r="O151" s="3"/>
      <c r="BB151" s="3"/>
      <c r="BC151" s="3"/>
      <c r="BD151" s="3"/>
    </row>
    <row r="152" spans="13:56" s="1" customFormat="1" x14ac:dyDescent="0.25">
      <c r="M152" s="3"/>
      <c r="N152" s="2"/>
      <c r="O152" s="3"/>
      <c r="BB152" s="3"/>
      <c r="BC152" s="3"/>
      <c r="BD152" s="3"/>
    </row>
    <row r="153" spans="13:56" s="1" customFormat="1" x14ac:dyDescent="0.25">
      <c r="M153" s="3"/>
      <c r="N153" s="2"/>
      <c r="O153" s="3"/>
      <c r="BB153" s="3"/>
      <c r="BC153" s="3"/>
      <c r="BD153" s="3"/>
    </row>
  </sheetData>
  <sheetProtection algorithmName="SHA-512" hashValue="/fqrXbgxqvpp6d+itfJ/GConpqyUWcNAmxiXg8YWY1l5/AtR9E19y5u21KMZYQhP5nJ7C9La563gcRWqljMJYA==" saltValue="N4etTQfiHH1or/c4+u9g+g==" spinCount="100000" sheet="1" objects="1" scenarios="1"/>
  <mergeCells count="99">
    <mergeCell ref="BA1:BD1"/>
    <mergeCell ref="A2:E2"/>
    <mergeCell ref="P2:S2"/>
    <mergeCell ref="B3:C3"/>
    <mergeCell ref="D3:E3"/>
    <mergeCell ref="AC3:AG3"/>
    <mergeCell ref="BA3:BC3"/>
    <mergeCell ref="D4:E4"/>
    <mergeCell ref="P4:Q4"/>
    <mergeCell ref="R4:S4"/>
    <mergeCell ref="BA4:BC4"/>
    <mergeCell ref="D5:E5"/>
    <mergeCell ref="AD5:AE5"/>
    <mergeCell ref="BA5:BC5"/>
    <mergeCell ref="D6:E6"/>
    <mergeCell ref="P6:Q6"/>
    <mergeCell ref="R6:S6"/>
    <mergeCell ref="BA6:BC6"/>
    <mergeCell ref="A7:B7"/>
    <mergeCell ref="D7:E7"/>
    <mergeCell ref="BA7:BC7"/>
    <mergeCell ref="A8:B8"/>
    <mergeCell ref="D8:E8"/>
    <mergeCell ref="P8:Q8"/>
    <mergeCell ref="R8:S8"/>
    <mergeCell ref="A9:B9"/>
    <mergeCell ref="D9:E9"/>
    <mergeCell ref="A10:B10"/>
    <mergeCell ref="D10:E10"/>
    <mergeCell ref="P10:Q10"/>
    <mergeCell ref="R10:S10"/>
    <mergeCell ref="A11:B11"/>
    <mergeCell ref="D11:E11"/>
    <mergeCell ref="D12:E12"/>
    <mergeCell ref="P12:Q12"/>
    <mergeCell ref="R12:S12"/>
    <mergeCell ref="D13:E13"/>
    <mergeCell ref="A14:B14"/>
    <mergeCell ref="D14:E14"/>
    <mergeCell ref="P14:Q14"/>
    <mergeCell ref="R14:S14"/>
    <mergeCell ref="A15:B15"/>
    <mergeCell ref="D15:E15"/>
    <mergeCell ref="A16:B16"/>
    <mergeCell ref="P16:S16"/>
    <mergeCell ref="AC16:AE16"/>
    <mergeCell ref="BA17:BD17"/>
    <mergeCell ref="A18:B18"/>
    <mergeCell ref="D18:E18"/>
    <mergeCell ref="P18:Q18"/>
    <mergeCell ref="R18:S18"/>
    <mergeCell ref="AC18:AD18"/>
    <mergeCell ref="BA18:BC18"/>
    <mergeCell ref="A17:B17"/>
    <mergeCell ref="D17:E17"/>
    <mergeCell ref="BA25:BC25"/>
    <mergeCell ref="A19:F19"/>
    <mergeCell ref="BA19:BC19"/>
    <mergeCell ref="A20:B20"/>
    <mergeCell ref="BA20:BC20"/>
    <mergeCell ref="A21:B21"/>
    <mergeCell ref="P21:Q21"/>
    <mergeCell ref="R21:S21"/>
    <mergeCell ref="BA21:BC21"/>
    <mergeCell ref="A22:E22"/>
    <mergeCell ref="BA22:BC22"/>
    <mergeCell ref="BA23:BC23"/>
    <mergeCell ref="A24:E24"/>
    <mergeCell ref="BA24:BC24"/>
    <mergeCell ref="A28:B28"/>
    <mergeCell ref="P28:Q28"/>
    <mergeCell ref="R28:S28"/>
    <mergeCell ref="BA28:BC28"/>
    <mergeCell ref="BA30:BC30"/>
    <mergeCell ref="P30:S30"/>
    <mergeCell ref="A26:E26"/>
    <mergeCell ref="P26:Q26"/>
    <mergeCell ref="R26:S26"/>
    <mergeCell ref="BA26:BC26"/>
    <mergeCell ref="A27:B27"/>
    <mergeCell ref="BA27:BC27"/>
    <mergeCell ref="A52:C52"/>
    <mergeCell ref="A54:D54"/>
    <mergeCell ref="A56:E56"/>
    <mergeCell ref="A58:E58"/>
    <mergeCell ref="A31:D31"/>
    <mergeCell ref="A33:D33"/>
    <mergeCell ref="A35:D35"/>
    <mergeCell ref="A45:D45"/>
    <mergeCell ref="A47:E47"/>
    <mergeCell ref="A49:C49"/>
    <mergeCell ref="A68:B68"/>
    <mergeCell ref="D68:E68"/>
    <mergeCell ref="P58:R58"/>
    <mergeCell ref="P59:R59"/>
    <mergeCell ref="A62:E62"/>
    <mergeCell ref="A64:D64"/>
    <mergeCell ref="A66:E66"/>
    <mergeCell ref="A60:E60"/>
  </mergeCells>
  <conditionalFormatting sqref="A28:E29">
    <cfRule type="containsBlanks" dxfId="13" priority="11">
      <formula>LEN(TRIM(A28))=0</formula>
    </cfRule>
  </conditionalFormatting>
  <conditionalFormatting sqref="B12:B13">
    <cfRule type="containsBlanks" dxfId="12" priority="7">
      <formula>LEN(TRIM(B12))=0</formula>
    </cfRule>
  </conditionalFormatting>
  <conditionalFormatting sqref="B3:C3">
    <cfRule type="containsBlanks" dxfId="11" priority="10">
      <formula>LEN(TRIM(B3))=0</formula>
    </cfRule>
  </conditionalFormatting>
  <conditionalFormatting sqref="C4:C5">
    <cfRule type="containsBlanks" dxfId="10" priority="16">
      <formula>LEN(TRIM(C4))=0</formula>
    </cfRule>
  </conditionalFormatting>
  <conditionalFormatting sqref="C7:C17">
    <cfRule type="containsBlanks" dxfId="9" priority="5">
      <formula>LEN(TRIM(C7))=0</formula>
    </cfRule>
  </conditionalFormatting>
  <conditionalFormatting sqref="C20:C21">
    <cfRule type="containsBlanks" dxfId="8" priority="9">
      <formula>LEN(TRIM(C20))=0</formula>
    </cfRule>
  </conditionalFormatting>
  <conditionalFormatting sqref="E16">
    <cfRule type="containsBlanks" dxfId="7" priority="12">
      <formula>LEN(TRIM(E16))=0</formula>
    </cfRule>
  </conditionalFormatting>
  <conditionalFormatting sqref="E20:E21">
    <cfRule type="containsBlanks" dxfId="6" priority="4">
      <formula>LEN(TRIM(E20))=0</formula>
    </cfRule>
  </conditionalFormatting>
  <conditionalFormatting sqref="F3:F4">
    <cfRule type="containsBlanks" dxfId="5" priority="15">
      <formula>LEN(TRIM(F3))=0</formula>
    </cfRule>
  </conditionalFormatting>
  <conditionalFormatting sqref="F7:F17">
    <cfRule type="containsBlanks" dxfId="4" priority="14">
      <formula>LEN(TRIM(F7))=0</formula>
    </cfRule>
  </conditionalFormatting>
  <conditionalFormatting sqref="F29">
    <cfRule type="containsBlanks" dxfId="3" priority="6">
      <formula>LEN(TRIM(F29))=0</formula>
    </cfRule>
  </conditionalFormatting>
  <conditionalFormatting sqref="F62">
    <cfRule type="containsBlanks" dxfId="2" priority="13">
      <formula>LEN(TRIM(F62))=0</formula>
    </cfRule>
  </conditionalFormatting>
  <conditionalFormatting sqref="R18:S18">
    <cfRule type="containsBlanks" dxfId="1" priority="3">
      <formula>LEN(TRIM(R18))=0</formula>
    </cfRule>
  </conditionalFormatting>
  <conditionalFormatting sqref="R21:S21">
    <cfRule type="containsBlanks" dxfId="0" priority="1">
      <formula>LEN(TRIM(R21))=0</formula>
    </cfRule>
  </conditionalFormatting>
  <dataValidations count="6">
    <dataValidation type="list" allowBlank="1" showInputMessage="1" showErrorMessage="1" sqref="G5" xr:uid="{0605F8BD-F462-47DA-BC32-574EB6EC43B9}">
      <formula1>$H$16:$H$53</formula1>
    </dataValidation>
    <dataValidation type="list" allowBlank="1" showInputMessage="1" showErrorMessage="1" prompt="Single: Single_x000a_MFJ: Married Filing Jointly_x000a_MFS: Married Filing Separately_x000a_HH: Head of Household" sqref="F5" xr:uid="{5E1550F1-4AEE-45CB-BC0F-4CBEA3FAC1D5}">
      <formula1>"Single, MFJ, MFS, HH"</formula1>
    </dataValidation>
    <dataValidation type="list" allowBlank="1" showInputMessage="1" showErrorMessage="1" sqref="F2" xr:uid="{B7E5A8E1-2098-487D-8F3B-AC1142E82E5E}">
      <formula1>$AL$12:$AL$14</formula1>
    </dataValidation>
    <dataValidation type="list" allowBlank="1" showInputMessage="1" showErrorMessage="1" sqref="AD5" xr:uid="{D9622105-31B2-40EA-85F7-FC2DDBB98D51}">
      <formula1>status_list</formula1>
    </dataValidation>
    <dataValidation type="decimal" operator="lessThan" allowBlank="1" showInputMessage="1" showErrorMessage="1" sqref="C21 E21" xr:uid="{8881FBDD-0F67-41C0-9832-4C644B204EE3}">
      <formula1>0</formula1>
    </dataValidation>
    <dataValidation type="decimal" operator="greaterThan" allowBlank="1" showInputMessage="1" showErrorMessage="1" sqref="C12 C13 F7:F15" xr:uid="{26E14C40-9BA3-45B7-8142-BCE1D6D988AB}">
      <formula1>0</formula1>
    </dataValidation>
  </dataValidations>
  <hyperlinks>
    <hyperlink ref="P30:S30" r:id="rId1" display="Click here to pay via IRS Direct Pay" xr:uid="{A634EBEF-73FD-4376-A185-8425047CFFDC}"/>
  </hyperlinks>
  <pageMargins left="0.7" right="0.7" top="0.75" bottom="0.75" header="0.3" footer="0.3"/>
  <pageSetup orientation="portrait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D71474-D5BB-4984-A143-FD9B98D8670A}">
  <dimension ref="A1:F23"/>
  <sheetViews>
    <sheetView topLeftCell="A14" zoomScale="166" zoomScaleNormal="166" workbookViewId="0">
      <selection activeCell="G14" sqref="G14"/>
    </sheetView>
  </sheetViews>
  <sheetFormatPr defaultRowHeight="15" x14ac:dyDescent="0.25"/>
  <cols>
    <col min="1" max="1" width="29.28515625" style="1" customWidth="1"/>
    <col min="2" max="2" width="13.28515625" style="1" customWidth="1"/>
    <col min="3" max="3" width="10.140625" style="1" customWidth="1"/>
    <col min="4" max="4" width="9.140625" style="1" customWidth="1"/>
    <col min="5" max="5" width="9.140625" style="1"/>
    <col min="6" max="6" width="12.5703125" style="1" hidden="1" customWidth="1"/>
    <col min="7" max="16384" width="9.140625" style="1"/>
  </cols>
  <sheetData>
    <row r="1" spans="1:6" ht="31.5" customHeight="1" x14ac:dyDescent="0.35">
      <c r="A1" s="266" t="s">
        <v>175</v>
      </c>
      <c r="B1" s="267"/>
      <c r="C1" s="267"/>
      <c r="D1" s="268"/>
    </row>
    <row r="2" spans="1:6" x14ac:dyDescent="0.25">
      <c r="A2" s="3" t="s">
        <v>6</v>
      </c>
      <c r="B2" s="3"/>
      <c r="F2" s="1" t="s">
        <v>168</v>
      </c>
    </row>
    <row r="3" spans="1:6" x14ac:dyDescent="0.25">
      <c r="A3" s="249" t="s">
        <v>98</v>
      </c>
      <c r="B3" s="252"/>
      <c r="C3" s="225">
        <f>'IRS Tax Estimator'!R4</f>
        <v>0</v>
      </c>
      <c r="D3" s="226"/>
      <c r="F3" s="166" t="str">
        <f>'IRS Tax Estimator'!AD5</f>
        <v>Single</v>
      </c>
    </row>
    <row r="4" spans="1:6" x14ac:dyDescent="0.25">
      <c r="A4" s="3" t="s">
        <v>6</v>
      </c>
    </row>
    <row r="5" spans="1:6" x14ac:dyDescent="0.25">
      <c r="A5" s="249" t="s">
        <v>166</v>
      </c>
      <c r="B5" s="252"/>
      <c r="C5" s="225">
        <f>'IRS Tax Estimator'!C10+'IRS Tax Estimator'!F16</f>
        <v>0</v>
      </c>
      <c r="D5" s="226"/>
      <c r="F5" s="1" cm="1">
        <f t="array" ref="F5">_xlfn.IFS(F3="MFJ", 500000, OR(F3="Single", F3="HOH", F3="MFS"), 250000)</f>
        <v>250000</v>
      </c>
    </row>
    <row r="7" spans="1:6" x14ac:dyDescent="0.25">
      <c r="A7" s="249" t="s">
        <v>355</v>
      </c>
      <c r="B7" s="252"/>
      <c r="C7" s="276"/>
      <c r="D7" s="277"/>
      <c r="F7" s="1">
        <f>IF(F3="MFJ", 20001, 10001)</f>
        <v>10001</v>
      </c>
    </row>
    <row r="8" spans="1:6" x14ac:dyDescent="0.25">
      <c r="A8" s="71"/>
      <c r="B8" s="71"/>
      <c r="C8" s="165"/>
      <c r="D8" s="165"/>
    </row>
    <row r="9" spans="1:6" x14ac:dyDescent="0.25">
      <c r="A9" s="168" t="s">
        <v>169</v>
      </c>
      <c r="B9" s="171">
        <v>2850</v>
      </c>
      <c r="C9" s="225">
        <f>IF(C3 &lt; F5, F11, 0)</f>
        <v>2850</v>
      </c>
      <c r="D9" s="226"/>
      <c r="F9" s="1">
        <f>IF(F3="MFJ", 2, 1)</f>
        <v>1</v>
      </c>
    </row>
    <row r="10" spans="1:6" x14ac:dyDescent="0.25">
      <c r="A10" s="3" t="s">
        <v>6</v>
      </c>
      <c r="F10" s="167">
        <f>'IRS Tax Estimator'!F3+'IRS Tax Estimator'!F4</f>
        <v>0</v>
      </c>
    </row>
    <row r="11" spans="1:6" x14ac:dyDescent="0.25">
      <c r="A11" s="168" t="s">
        <v>38</v>
      </c>
      <c r="B11" s="170">
        <f>C3-C5-C7-C9</f>
        <v>-2850</v>
      </c>
      <c r="C11" s="225">
        <f>IF(B11 &lt; 0, 0, B11)</f>
        <v>0</v>
      </c>
      <c r="D11" s="226"/>
      <c r="F11" s="62">
        <f>(F9+F10)*B9</f>
        <v>2850</v>
      </c>
    </row>
    <row r="13" spans="1:6" x14ac:dyDescent="0.25">
      <c r="A13" s="168" t="s">
        <v>163</v>
      </c>
      <c r="B13" s="169">
        <v>4.9500000000000002E-2</v>
      </c>
      <c r="C13" s="225">
        <f>C11*B13</f>
        <v>0</v>
      </c>
      <c r="D13" s="226"/>
    </row>
    <row r="14" spans="1:6" x14ac:dyDescent="0.25">
      <c r="A14" s="71"/>
      <c r="B14" s="71"/>
      <c r="C14" s="165"/>
      <c r="D14" s="165"/>
    </row>
    <row r="15" spans="1:6" x14ac:dyDescent="0.25">
      <c r="A15" s="168" t="s">
        <v>167</v>
      </c>
      <c r="B15" s="169">
        <v>0.05</v>
      </c>
      <c r="C15" s="225">
        <f>IF(C3 &lt; F5, F15, 0)</f>
        <v>0</v>
      </c>
      <c r="D15" s="226"/>
      <c r="F15" s="1">
        <f>'IRS Tax Estimator'!A28*B15</f>
        <v>0</v>
      </c>
    </row>
    <row r="16" spans="1:6" x14ac:dyDescent="0.25">
      <c r="A16" s="71"/>
      <c r="B16" s="71"/>
      <c r="C16" s="165"/>
      <c r="D16" s="165"/>
    </row>
    <row r="17" spans="1:4" x14ac:dyDescent="0.25">
      <c r="A17" s="249" t="s">
        <v>164</v>
      </c>
      <c r="B17" s="252"/>
      <c r="C17" s="225">
        <f>'IRS Tax Estimator'!E28</f>
        <v>0</v>
      </c>
      <c r="D17" s="226"/>
    </row>
    <row r="19" spans="1:4" x14ac:dyDescent="0.25">
      <c r="A19" s="249" t="s">
        <v>165</v>
      </c>
      <c r="B19" s="252"/>
      <c r="C19" s="276">
        <v>0</v>
      </c>
      <c r="D19" s="277"/>
    </row>
    <row r="21" spans="1:4" ht="21" x14ac:dyDescent="0.35">
      <c r="A21" s="253" t="str">
        <f>IF(C21&gt;0, "Tax Due", "Refund")</f>
        <v>Refund</v>
      </c>
      <c r="B21" s="254"/>
      <c r="C21" s="255">
        <f>C13-C15-C17-C19</f>
        <v>0</v>
      </c>
      <c r="D21" s="256"/>
    </row>
    <row r="23" spans="1:4" x14ac:dyDescent="0.25">
      <c r="A23" s="278" t="s">
        <v>356</v>
      </c>
      <c r="B23" s="279"/>
      <c r="C23" s="279"/>
      <c r="D23" s="280"/>
    </row>
  </sheetData>
  <mergeCells count="18">
    <mergeCell ref="A23:D23"/>
    <mergeCell ref="C9:D9"/>
    <mergeCell ref="C11:D11"/>
    <mergeCell ref="C15:D15"/>
    <mergeCell ref="C13:D13"/>
    <mergeCell ref="A21:B21"/>
    <mergeCell ref="C21:D21"/>
    <mergeCell ref="A17:B17"/>
    <mergeCell ref="C17:D17"/>
    <mergeCell ref="A19:B19"/>
    <mergeCell ref="C19:D19"/>
    <mergeCell ref="A7:B7"/>
    <mergeCell ref="C7:D7"/>
    <mergeCell ref="A1:D1"/>
    <mergeCell ref="A3:B3"/>
    <mergeCell ref="C3:D3"/>
    <mergeCell ref="A5:B5"/>
    <mergeCell ref="C5:D5"/>
  </mergeCells>
  <dataValidations count="1">
    <dataValidation type="decimal" operator="lessThan" allowBlank="1" showInputMessage="1" showErrorMessage="1" sqref="C7:D7" xr:uid="{436AE386-0721-4312-9304-A6647350F2AD}">
      <formula1>F7</formula1>
    </dataValidation>
  </dataValidations>
  <hyperlinks>
    <hyperlink ref="A23:D23" r:id="rId1" display="Click here to pay via MyTax Illinois" xr:uid="{F2B3B05A-ED9F-4C1C-982D-A9C56692B23B}"/>
  </hyperlinks>
  <pageMargins left="0.7" right="0.7" top="0.75" bottom="0.75" header="0.3" footer="0.3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970C4B-F9C7-4F9C-8B49-9DE3C2844042}">
  <dimension ref="A1:D58"/>
  <sheetViews>
    <sheetView topLeftCell="A21" workbookViewId="0">
      <selection activeCell="J10" sqref="J10"/>
    </sheetView>
  </sheetViews>
  <sheetFormatPr defaultRowHeight="15" x14ac:dyDescent="0.25"/>
  <cols>
    <col min="1" max="1" width="16.42578125" customWidth="1"/>
    <col min="2" max="2" width="31" customWidth="1"/>
    <col min="3" max="3" width="56" customWidth="1"/>
    <col min="4" max="4" width="43.7109375" customWidth="1"/>
    <col min="5" max="5" width="16.42578125" customWidth="1"/>
  </cols>
  <sheetData>
    <row r="1" spans="1:4" ht="30" customHeight="1" x14ac:dyDescent="0.25">
      <c r="A1" s="173" t="s">
        <v>176</v>
      </c>
    </row>
    <row r="2" spans="1:4" ht="30" customHeight="1" x14ac:dyDescent="0.35">
      <c r="A2" s="174" t="s">
        <v>177</v>
      </c>
      <c r="B2" s="175" t="s">
        <v>178</v>
      </c>
      <c r="C2" s="176" t="s">
        <v>179</v>
      </c>
      <c r="D2" s="177"/>
    </row>
    <row r="3" spans="1:4" ht="30" customHeight="1" x14ac:dyDescent="0.25">
      <c r="A3" s="173"/>
      <c r="B3" s="25"/>
      <c r="C3" s="66"/>
    </row>
    <row r="4" spans="1:4" ht="30" customHeight="1" x14ac:dyDescent="0.25">
      <c r="A4" s="178" t="s">
        <v>180</v>
      </c>
      <c r="B4" s="178" t="s">
        <v>181</v>
      </c>
      <c r="C4" s="178" t="s">
        <v>182</v>
      </c>
      <c r="D4" s="179" t="s">
        <v>183</v>
      </c>
    </row>
    <row r="5" spans="1:4" ht="30" customHeight="1" x14ac:dyDescent="0.25">
      <c r="A5" s="179" t="s">
        <v>184</v>
      </c>
      <c r="B5" s="179" t="s">
        <v>185</v>
      </c>
      <c r="C5" s="180" t="s">
        <v>186</v>
      </c>
      <c r="D5" s="179" t="s">
        <v>187</v>
      </c>
    </row>
    <row r="6" spans="1:4" ht="30" customHeight="1" x14ac:dyDescent="0.25">
      <c r="A6" s="184" t="s">
        <v>188</v>
      </c>
      <c r="B6" s="184" t="s">
        <v>189</v>
      </c>
      <c r="C6" s="185" t="s">
        <v>190</v>
      </c>
      <c r="D6" s="184" t="s">
        <v>191</v>
      </c>
    </row>
    <row r="7" spans="1:4" ht="30" customHeight="1" x14ac:dyDescent="0.25">
      <c r="A7" s="184" t="s">
        <v>192</v>
      </c>
      <c r="B7" s="184" t="s">
        <v>193</v>
      </c>
      <c r="C7" s="185" t="s">
        <v>194</v>
      </c>
      <c r="D7" s="184" t="s">
        <v>195</v>
      </c>
    </row>
    <row r="8" spans="1:4" ht="30" customHeight="1" x14ac:dyDescent="0.25">
      <c r="A8" s="184" t="s">
        <v>196</v>
      </c>
      <c r="B8" s="184" t="s">
        <v>197</v>
      </c>
      <c r="C8" s="185" t="s">
        <v>198</v>
      </c>
      <c r="D8" s="184" t="s">
        <v>199</v>
      </c>
    </row>
    <row r="9" spans="1:4" ht="30" customHeight="1" x14ac:dyDescent="0.25">
      <c r="A9" s="184" t="s">
        <v>200</v>
      </c>
      <c r="B9" s="184" t="s">
        <v>201</v>
      </c>
      <c r="C9" s="185" t="s">
        <v>202</v>
      </c>
      <c r="D9" s="184" t="s">
        <v>203</v>
      </c>
    </row>
    <row r="10" spans="1:4" ht="30" customHeight="1" x14ac:dyDescent="0.25">
      <c r="A10" s="184" t="s">
        <v>204</v>
      </c>
      <c r="B10" s="184" t="s">
        <v>205</v>
      </c>
      <c r="C10" s="185" t="s">
        <v>206</v>
      </c>
      <c r="D10" s="184" t="s">
        <v>207</v>
      </c>
    </row>
    <row r="11" spans="1:4" ht="30" customHeight="1" x14ac:dyDescent="0.25">
      <c r="A11" s="184" t="s">
        <v>208</v>
      </c>
      <c r="B11" s="184" t="s">
        <v>209</v>
      </c>
      <c r="C11" s="185" t="s">
        <v>210</v>
      </c>
      <c r="D11" s="184" t="s">
        <v>211</v>
      </c>
    </row>
    <row r="12" spans="1:4" ht="30" hidden="1" customHeight="1" x14ac:dyDescent="0.25">
      <c r="A12" s="184" t="s">
        <v>212</v>
      </c>
      <c r="B12" s="184" t="s">
        <v>213</v>
      </c>
      <c r="C12" s="186" t="s">
        <v>214</v>
      </c>
      <c r="D12" s="186" t="s">
        <v>215</v>
      </c>
    </row>
    <row r="13" spans="1:4" ht="30" customHeight="1" x14ac:dyDescent="0.25">
      <c r="A13" s="184" t="s">
        <v>216</v>
      </c>
      <c r="B13" s="184" t="s">
        <v>217</v>
      </c>
      <c r="C13" s="185" t="s">
        <v>218</v>
      </c>
      <c r="D13" s="184" t="s">
        <v>219</v>
      </c>
    </row>
    <row r="14" spans="1:4" ht="30" customHeight="1" x14ac:dyDescent="0.25">
      <c r="A14" s="184" t="s">
        <v>220</v>
      </c>
      <c r="B14" s="184" t="s">
        <v>221</v>
      </c>
      <c r="C14" s="185" t="s">
        <v>222</v>
      </c>
      <c r="D14" s="184" t="s">
        <v>223</v>
      </c>
    </row>
    <row r="15" spans="1:4" ht="30" customHeight="1" x14ac:dyDescent="0.25">
      <c r="A15" s="184" t="s">
        <v>224</v>
      </c>
      <c r="B15" s="184" t="s">
        <v>225</v>
      </c>
      <c r="C15" s="185" t="s">
        <v>226</v>
      </c>
      <c r="D15" s="184" t="s">
        <v>227</v>
      </c>
    </row>
    <row r="16" spans="1:4" ht="30" customHeight="1" x14ac:dyDescent="0.25">
      <c r="A16" s="181" t="s">
        <v>228</v>
      </c>
      <c r="B16" s="181" t="s">
        <v>229</v>
      </c>
      <c r="C16" s="182" t="s">
        <v>230</v>
      </c>
      <c r="D16" s="181" t="s">
        <v>231</v>
      </c>
    </row>
    <row r="17" spans="1:4" ht="30" customHeight="1" x14ac:dyDescent="0.25">
      <c r="A17" s="184" t="s">
        <v>232</v>
      </c>
      <c r="B17" s="184" t="s">
        <v>233</v>
      </c>
      <c r="C17" s="185" t="s">
        <v>234</v>
      </c>
      <c r="D17" s="184" t="s">
        <v>235</v>
      </c>
    </row>
    <row r="18" spans="1:4" ht="30" customHeight="1" x14ac:dyDescent="0.25">
      <c r="A18" s="179" t="s">
        <v>236</v>
      </c>
      <c r="B18" s="179" t="s">
        <v>237</v>
      </c>
      <c r="C18" s="180" t="s">
        <v>238</v>
      </c>
      <c r="D18" s="179" t="s">
        <v>239</v>
      </c>
    </row>
    <row r="19" spans="1:4" ht="30" customHeight="1" x14ac:dyDescent="0.25">
      <c r="A19" s="179" t="s">
        <v>240</v>
      </c>
      <c r="B19" s="179" t="s">
        <v>241</v>
      </c>
      <c r="C19" s="180" t="s">
        <v>242</v>
      </c>
      <c r="D19" s="179" t="s">
        <v>243</v>
      </c>
    </row>
    <row r="20" spans="1:4" ht="30" customHeight="1" x14ac:dyDescent="0.25">
      <c r="A20" s="179" t="s">
        <v>244</v>
      </c>
      <c r="B20" s="179" t="s">
        <v>245</v>
      </c>
      <c r="C20" s="180" t="s">
        <v>246</v>
      </c>
      <c r="D20" s="179" t="s">
        <v>247</v>
      </c>
    </row>
    <row r="21" spans="1:4" ht="30" customHeight="1" x14ac:dyDescent="0.25">
      <c r="A21" s="179" t="s">
        <v>248</v>
      </c>
      <c r="B21" s="179" t="s">
        <v>249</v>
      </c>
      <c r="C21" s="180" t="s">
        <v>250</v>
      </c>
      <c r="D21" s="179" t="s">
        <v>251</v>
      </c>
    </row>
    <row r="22" spans="1:4" ht="30" customHeight="1" x14ac:dyDescent="0.25">
      <c r="A22" s="179" t="s">
        <v>252</v>
      </c>
      <c r="B22" s="179" t="s">
        <v>253</v>
      </c>
      <c r="C22" s="180" t="s">
        <v>254</v>
      </c>
      <c r="D22" s="179" t="s">
        <v>255</v>
      </c>
    </row>
    <row r="23" spans="1:4" ht="30" customHeight="1" x14ac:dyDescent="0.25">
      <c r="A23" s="179" t="s">
        <v>256</v>
      </c>
      <c r="B23" s="179" t="s">
        <v>257</v>
      </c>
      <c r="C23" s="180" t="s">
        <v>258</v>
      </c>
      <c r="D23" s="179" t="s">
        <v>259</v>
      </c>
    </row>
    <row r="24" spans="1:4" ht="30" customHeight="1" x14ac:dyDescent="0.25">
      <c r="A24" s="179" t="s">
        <v>260</v>
      </c>
      <c r="B24" s="179" t="s">
        <v>261</v>
      </c>
      <c r="C24" s="180" t="s">
        <v>262</v>
      </c>
      <c r="D24" s="179" t="s">
        <v>263</v>
      </c>
    </row>
    <row r="25" spans="1:4" ht="30" customHeight="1" x14ac:dyDescent="0.25">
      <c r="A25" s="179" t="s">
        <v>264</v>
      </c>
      <c r="B25" s="179" t="s">
        <v>265</v>
      </c>
      <c r="C25" s="180" t="s">
        <v>266</v>
      </c>
      <c r="D25" s="179" t="s">
        <v>267</v>
      </c>
    </row>
    <row r="26" spans="1:4" ht="30" customHeight="1" x14ac:dyDescent="0.25">
      <c r="A26" s="179" t="s">
        <v>268</v>
      </c>
      <c r="B26" s="179" t="s">
        <v>225</v>
      </c>
      <c r="C26" s="180" t="s">
        <v>269</v>
      </c>
      <c r="D26" s="179" t="s">
        <v>270</v>
      </c>
    </row>
    <row r="27" spans="1:4" ht="30" customHeight="1" x14ac:dyDescent="0.25">
      <c r="A27" s="179" t="s">
        <v>271</v>
      </c>
      <c r="B27" s="179" t="s">
        <v>272</v>
      </c>
      <c r="C27" s="180" t="s">
        <v>273</v>
      </c>
      <c r="D27" s="179" t="s">
        <v>274</v>
      </c>
    </row>
    <row r="28" spans="1:4" ht="30" customHeight="1" x14ac:dyDescent="0.25">
      <c r="A28" s="179" t="s">
        <v>275</v>
      </c>
      <c r="B28" s="179" t="s">
        <v>276</v>
      </c>
      <c r="C28" s="180" t="s">
        <v>277</v>
      </c>
      <c r="D28" s="179" t="s">
        <v>278</v>
      </c>
    </row>
    <row r="29" spans="1:4" ht="30" customHeight="1" x14ac:dyDescent="0.25">
      <c r="A29" s="179" t="s">
        <v>279</v>
      </c>
      <c r="B29" s="179" t="s">
        <v>280</v>
      </c>
      <c r="C29" s="180" t="s">
        <v>281</v>
      </c>
      <c r="D29" s="179" t="s">
        <v>282</v>
      </c>
    </row>
    <row r="30" spans="1:4" ht="30" customHeight="1" x14ac:dyDescent="0.25">
      <c r="A30" s="179" t="s">
        <v>283</v>
      </c>
      <c r="B30" s="179" t="s">
        <v>284</v>
      </c>
      <c r="C30" s="180" t="s">
        <v>285</v>
      </c>
      <c r="D30" s="179" t="s">
        <v>286</v>
      </c>
    </row>
    <row r="31" spans="1:4" ht="30" customHeight="1" x14ac:dyDescent="0.25">
      <c r="A31" s="179" t="s">
        <v>287</v>
      </c>
      <c r="B31" s="179" t="s">
        <v>288</v>
      </c>
      <c r="C31" s="180" t="s">
        <v>289</v>
      </c>
      <c r="D31" s="179" t="s">
        <v>290</v>
      </c>
    </row>
    <row r="32" spans="1:4" ht="30" customHeight="1" x14ac:dyDescent="0.25">
      <c r="A32" s="179" t="s">
        <v>291</v>
      </c>
      <c r="B32" s="179" t="s">
        <v>225</v>
      </c>
      <c r="C32" s="180" t="s">
        <v>292</v>
      </c>
      <c r="D32" s="179" t="s">
        <v>293</v>
      </c>
    </row>
    <row r="33" spans="1:4" ht="30" customHeight="1" x14ac:dyDescent="0.25">
      <c r="A33" s="179" t="s">
        <v>294</v>
      </c>
      <c r="B33" s="179" t="s">
        <v>295</v>
      </c>
      <c r="C33" s="180" t="s">
        <v>296</v>
      </c>
      <c r="D33" s="179" t="s">
        <v>297</v>
      </c>
    </row>
    <row r="34" spans="1:4" ht="30" customHeight="1" x14ac:dyDescent="0.25">
      <c r="A34" s="179" t="s">
        <v>298</v>
      </c>
      <c r="B34" s="179" t="s">
        <v>299</v>
      </c>
      <c r="C34" s="180" t="s">
        <v>300</v>
      </c>
      <c r="D34" s="179" t="s">
        <v>263</v>
      </c>
    </row>
    <row r="35" spans="1:4" ht="30" customHeight="1" x14ac:dyDescent="0.25">
      <c r="A35" s="179" t="s">
        <v>301</v>
      </c>
      <c r="B35" s="179" t="s">
        <v>225</v>
      </c>
      <c r="C35" s="180" t="s">
        <v>302</v>
      </c>
      <c r="D35" s="179" t="s">
        <v>303</v>
      </c>
    </row>
    <row r="36" spans="1:4" ht="30" customHeight="1" x14ac:dyDescent="0.25">
      <c r="A36" s="179" t="s">
        <v>304</v>
      </c>
      <c r="B36" s="178" t="s">
        <v>360</v>
      </c>
      <c r="C36" s="180" t="s">
        <v>359</v>
      </c>
      <c r="D36" t="s">
        <v>358</v>
      </c>
    </row>
    <row r="37" spans="1:4" ht="30" customHeight="1" x14ac:dyDescent="0.25">
      <c r="A37" s="179" t="s">
        <v>305</v>
      </c>
      <c r="B37" s="179" t="s">
        <v>306</v>
      </c>
      <c r="C37" s="180" t="s">
        <v>307</v>
      </c>
      <c r="D37" s="179" t="s">
        <v>308</v>
      </c>
    </row>
    <row r="38" spans="1:4" ht="30" customHeight="1" x14ac:dyDescent="0.25">
      <c r="A38" s="179" t="s">
        <v>309</v>
      </c>
      <c r="B38" s="179" t="s">
        <v>201</v>
      </c>
      <c r="C38" s="180" t="s">
        <v>310</v>
      </c>
      <c r="D38" s="179" t="s">
        <v>311</v>
      </c>
    </row>
    <row r="39" spans="1:4" ht="30" customHeight="1" x14ac:dyDescent="0.25">
      <c r="A39" s="179" t="s">
        <v>312</v>
      </c>
      <c r="B39" s="179" t="s">
        <v>313</v>
      </c>
      <c r="C39" s="180" t="s">
        <v>314</v>
      </c>
      <c r="D39" s="179" t="s">
        <v>315</v>
      </c>
    </row>
    <row r="40" spans="1:4" ht="30" customHeight="1" x14ac:dyDescent="0.25">
      <c r="A40" s="179" t="s">
        <v>316</v>
      </c>
      <c r="B40" s="179" t="s">
        <v>317</v>
      </c>
      <c r="C40" s="180" t="s">
        <v>318</v>
      </c>
      <c r="D40" s="179" t="s">
        <v>319</v>
      </c>
    </row>
    <row r="41" spans="1:4" ht="30" customHeight="1" x14ac:dyDescent="0.25">
      <c r="A41" s="179" t="s">
        <v>320</v>
      </c>
      <c r="B41" s="179" t="s">
        <v>321</v>
      </c>
      <c r="C41" s="180" t="s">
        <v>322</v>
      </c>
      <c r="D41" s="179" t="s">
        <v>323</v>
      </c>
    </row>
    <row r="42" spans="1:4" ht="30" customHeight="1" x14ac:dyDescent="0.25">
      <c r="A42" s="179" t="s">
        <v>324</v>
      </c>
      <c r="B42" s="179" t="s">
        <v>225</v>
      </c>
      <c r="C42" s="180" t="s">
        <v>325</v>
      </c>
      <c r="D42" s="179" t="s">
        <v>326</v>
      </c>
    </row>
    <row r="43" spans="1:4" ht="30" customHeight="1" x14ac:dyDescent="0.25">
      <c r="A43" s="179" t="s">
        <v>327</v>
      </c>
      <c r="B43" s="179" t="s">
        <v>328</v>
      </c>
      <c r="C43" s="180" t="s">
        <v>329</v>
      </c>
      <c r="D43" s="179" t="s">
        <v>330</v>
      </c>
    </row>
    <row r="44" spans="1:4" ht="30" customHeight="1" x14ac:dyDescent="0.25">
      <c r="A44" s="179" t="s">
        <v>331</v>
      </c>
      <c r="B44" s="179" t="s">
        <v>332</v>
      </c>
      <c r="C44" s="180" t="s">
        <v>333</v>
      </c>
      <c r="D44" s="179" t="s">
        <v>334</v>
      </c>
    </row>
    <row r="45" spans="1:4" ht="30" customHeight="1" x14ac:dyDescent="0.25">
      <c r="A45" s="179" t="s">
        <v>335</v>
      </c>
      <c r="B45" s="179" t="s">
        <v>336</v>
      </c>
      <c r="C45" s="180" t="s">
        <v>337</v>
      </c>
      <c r="D45" s="179" t="s">
        <v>338</v>
      </c>
    </row>
    <row r="46" spans="1:4" ht="30" customHeight="1" x14ac:dyDescent="0.25">
      <c r="A46" s="179" t="s">
        <v>339</v>
      </c>
      <c r="B46" s="179" t="s">
        <v>340</v>
      </c>
      <c r="C46" s="180" t="s">
        <v>341</v>
      </c>
      <c r="D46" s="179" t="s">
        <v>342</v>
      </c>
    </row>
    <row r="47" spans="1:4" ht="30" customHeight="1" x14ac:dyDescent="0.25">
      <c r="A47" s="281" t="s">
        <v>354</v>
      </c>
      <c r="B47" s="282"/>
      <c r="C47" s="282"/>
      <c r="D47" s="283"/>
    </row>
    <row r="48" spans="1:4" ht="30" customHeight="1" x14ac:dyDescent="0.25">
      <c r="A48" s="179" t="s">
        <v>343</v>
      </c>
      <c r="B48" s="178" t="s">
        <v>344</v>
      </c>
      <c r="C48" s="178"/>
      <c r="D48" s="183">
        <v>0</v>
      </c>
    </row>
    <row r="49" spans="1:4" ht="30" customHeight="1" x14ac:dyDescent="0.25">
      <c r="A49" s="179" t="s">
        <v>345</v>
      </c>
      <c r="B49" s="178" t="s">
        <v>344</v>
      </c>
      <c r="C49" s="178"/>
      <c r="D49" s="183">
        <v>0</v>
      </c>
    </row>
    <row r="50" spans="1:4" ht="30" customHeight="1" x14ac:dyDescent="0.25">
      <c r="A50" s="179" t="s">
        <v>346</v>
      </c>
      <c r="B50" s="178" t="s">
        <v>344</v>
      </c>
      <c r="C50" s="178"/>
      <c r="D50" s="183">
        <v>0</v>
      </c>
    </row>
    <row r="51" spans="1:4" ht="30" customHeight="1" x14ac:dyDescent="0.25">
      <c r="A51" s="179" t="s">
        <v>347</v>
      </c>
      <c r="B51" s="178" t="s">
        <v>344</v>
      </c>
      <c r="C51" s="178"/>
      <c r="D51" s="183">
        <v>0</v>
      </c>
    </row>
    <row r="52" spans="1:4" ht="30" customHeight="1" x14ac:dyDescent="0.25">
      <c r="A52" s="179" t="s">
        <v>348</v>
      </c>
      <c r="B52" s="178" t="s">
        <v>349</v>
      </c>
      <c r="C52" s="178"/>
      <c r="D52" s="183">
        <v>0</v>
      </c>
    </row>
    <row r="53" spans="1:4" ht="30" customHeight="1" x14ac:dyDescent="0.25">
      <c r="A53" s="179" t="s">
        <v>350</v>
      </c>
      <c r="B53" s="178" t="s">
        <v>344</v>
      </c>
      <c r="C53" s="178"/>
      <c r="D53" s="183">
        <v>0</v>
      </c>
    </row>
    <row r="54" spans="1:4" ht="30" customHeight="1" x14ac:dyDescent="0.25">
      <c r="A54" s="179" t="s">
        <v>351</v>
      </c>
      <c r="B54" s="178" t="s">
        <v>344</v>
      </c>
      <c r="C54" s="178"/>
      <c r="D54" s="183">
        <v>0</v>
      </c>
    </row>
    <row r="55" spans="1:4" ht="30" customHeight="1" x14ac:dyDescent="0.25">
      <c r="A55" s="179" t="s">
        <v>352</v>
      </c>
      <c r="B55" s="178" t="s">
        <v>344</v>
      </c>
      <c r="C55" s="178"/>
      <c r="D55" s="183">
        <v>0</v>
      </c>
    </row>
    <row r="58" spans="1:4" x14ac:dyDescent="0.25">
      <c r="A58" t="s">
        <v>353</v>
      </c>
    </row>
  </sheetData>
  <mergeCells count="1">
    <mergeCell ref="A47:D47"/>
  </mergeCells>
  <hyperlinks>
    <hyperlink ref="C5" r:id="rId1" display="https://myalabamataxes.alabama.gov/" xr:uid="{92D32316-E755-4504-8179-6873FF5F589B}"/>
    <hyperlink ref="C6" r:id="rId2" display="https://www.google.com/search?q=https://aztaxes.gov/PaymentMethod/PaymentOptions" xr:uid="{B8AD4196-D61E-4D7E-88BF-09D022B9BACD}"/>
    <hyperlink ref="C7" r:id="rId3" display="https://atap.arkansas.gov/" xr:uid="{81A6985F-EB24-4A15-8729-DF8483319175}"/>
    <hyperlink ref="C8" r:id="rId4" display="https://webapp.ftb.ca.gov/webpay/login/login" xr:uid="{65F7D629-1103-4F99-A7AC-A8E1553C9A21}"/>
    <hyperlink ref="C9" r:id="rId5" display="https://tax.colorado.gov/pay-by-credit-debit-echeck" xr:uid="{B18021F0-4AFC-4C54-9EC9-4FE98A77F62C}"/>
    <hyperlink ref="C10" r:id="rId6" display="https://drs.ct.gov/eservices/" xr:uid="{1EBD7A51-61CD-400F-89E7-80AF5E50E363}"/>
    <hyperlink ref="C11" r:id="rId7" display="https://tax.delaware.gov/" xr:uid="{F61B405F-B7F0-4343-AADC-965FD2B26E8D}"/>
    <hyperlink ref="C13" r:id="rId8" display="https://dor.georgia.gov/make-quick-payment" xr:uid="{3C60BBD8-7F60-4369-85A7-38CABE90A1D0}"/>
    <hyperlink ref="C14" r:id="rId9" display="https://portal.ehawaii.gov/business/tax-services/" xr:uid="{D6419310-71E8-4B8B-B46F-514275E8CF37}"/>
    <hyperlink ref="C15" r:id="rId10" display="https://tax.idaho.gov/online-services/e-pay/" xr:uid="{F063AAB6-E36B-43B8-90C2-3515CA41FAFD}"/>
    <hyperlink ref="C16" r:id="rId11" display="https://tax.illinois.gov/individuals/pay.html" xr:uid="{32032491-5501-4BEC-B6EE-6644CA54ACE0}"/>
    <hyperlink ref="C17" r:id="rId12" display="https://www.in.gov/dor/i-need-to/payments-and-billing/" xr:uid="{62E2CFA8-FBF1-4577-B526-B1122B932157}"/>
    <hyperlink ref="C18" r:id="rId13" display="https://revenue.iowa.gov/taxes/make-payment" xr:uid="{D5CB6FD0-6542-4DE5-9276-D174DF5454F6}"/>
    <hyperlink ref="C19" r:id="rId14" display="https://www.kansas.gov/payment-portal/" xr:uid="{5BEA8BB1-6334-4C0A-9396-BF67A3DEB82A}"/>
    <hyperlink ref="C20" r:id="rId15" display="https://epayment.ky.gov/EPAY" xr:uid="{6188EB27-2ACB-4B34-9A60-6BCDE0337FF4}"/>
    <hyperlink ref="C21" r:id="rId16" display="https://revenue.maine.gov/" xr:uid="{1EB87789-66E5-4C8F-BEAB-3FD6CE01B2AB}"/>
    <hyperlink ref="C22" r:id="rId17" display="https://interactive.marylandtaxes.gov/Individuals/Payment/" xr:uid="{1013D52C-DBEE-449B-992D-77197416902D}"/>
    <hyperlink ref="C23" r:id="rId18" display="https://www.mass.gov/info-details/massachusetts-dor-estimated-tax-payments" xr:uid="{6AA8CBA0-FBA3-467C-8333-1660CA7965F5}"/>
    <hyperlink ref="C24" r:id="rId19" display="https://etreas.michigan.gov/" xr:uid="{2849A83D-75F3-4E04-984C-CCAE354C493E}"/>
    <hyperlink ref="C25" r:id="rId20" display="https://www.revenue.state.mn.us/" xr:uid="{6684BE0B-607A-4E9B-84FA-13A9E5F71B41}"/>
    <hyperlink ref="C26" r:id="rId21" display="https://www.dor.ms.gov/forms-resources/make-online-tax-payments" xr:uid="{8BB1FDAB-4D9F-454D-8F3C-0AC289A10290}"/>
    <hyperlink ref="C27" r:id="rId22" display="https://mytax.mo.gov/rptp/portal/home/indiv-income-tax" xr:uid="{F2BBA826-3A59-4A83-8FDD-4714771A2A45}"/>
    <hyperlink ref="C28" r:id="rId23" display="https://revenue.mt.gov/taxes/estimated-tax-payments" xr:uid="{3BE1F8CE-0226-4636-852A-7668740FAE69}"/>
    <hyperlink ref="C29" r:id="rId24" display="https://revenue.nebraska.gov/individuals/estimated-income-tax" xr:uid="{1A1467BF-EA73-463D-83EA-21441634FF85}"/>
    <hyperlink ref="C30" r:id="rId25" display="https://gtc.revenue.nh.gov/TAP/_/" xr:uid="{07467EE2-CBC3-48FA-898A-00B77CDA3631}"/>
    <hyperlink ref="C31" r:id="rId26" display="https://www.nj.gov/treasury/taxation/njit20.shtml" xr:uid="{F4E7398D-9F62-450F-B7EA-2B64A28C98CC}"/>
    <hyperlink ref="C32" r:id="rId27" display="https://tap.state.nm.us/TAP/_/" xr:uid="{DFC544DE-DCE4-4704-8A1E-0B75132678EB}"/>
    <hyperlink ref="C33" r:id="rId28" display="https://www.tax.ny.gov/pay/ind/pay-estimated-tax.htm" xr:uid="{0E17A581-5E7F-4FEB-897A-F80ABCAA5273}"/>
    <hyperlink ref="C34" r:id="rId29" display="https://www.ncdor.gov/file-pay/file-pay-individuals" xr:uid="{DE6251FA-44D9-4443-869F-E3D8FD471848}"/>
    <hyperlink ref="C35" r:id="rId30" display="https://www.tax.nd.gov/" xr:uid="{CC430291-FC9D-4213-AF1D-3D0392C6B1A9}"/>
    <hyperlink ref="C37" r:id="rId31" display="https://oktap.tax.ok.gov/" xr:uid="{88899655-CB3F-435A-AB5B-B56173029A11}"/>
    <hyperlink ref="C38" r:id="rId32" display="https://www.oregon.gov/dor/programs/individuals/pages/personal-income-tax-payments.aspx" xr:uid="{D1565D86-9320-4D86-B4C9-CB38B18FBCB0}"/>
    <hyperlink ref="C39" r:id="rId33" display="https://www.pa.gov/services/revenue/make-a-personal-income-tax-payment" xr:uid="{C5EE1716-E31C-4040-8190-B73FEEB97403}"/>
    <hyperlink ref="C40" r:id="rId34" display="https://taxportal.ri.gov/" xr:uid="{3FB73849-2E52-4745-8E43-990D709C4D2D}"/>
    <hyperlink ref="C41" r:id="rId35" display="https://dor.sc.gov/mydorway" xr:uid="{D76F51C5-CAE3-4AC2-9407-03B66CD88D5D}"/>
    <hyperlink ref="C42" r:id="rId36" display="https://www.google.com/search?q=https://tap.utah.gov" xr:uid="{B08B820F-93AE-4556-950A-6F80161ECE45}"/>
    <hyperlink ref="C43" r:id="rId37" display="https://www.vermont.gov/service/pay-estimated-income-tax" xr:uid="{30FC1272-BB59-4685-8157-D11AB47A2424}"/>
    <hyperlink ref="C44" r:id="rId38" display="https://www.tax.virginia.gov/individual-estimated-tax-payments" xr:uid="{95542EE5-5230-4064-8EB4-2AD7E88312E5}"/>
    <hyperlink ref="C45" r:id="rId39" display="https://www.google.com/search?q=https://mytaxes.wv.gov/Individual/Payments/PayPersonalIncomeTax" xr:uid="{5D858837-937F-456D-BC5B-980B60970322}"/>
    <hyperlink ref="C46" r:id="rId40" display="https://www.revenue.wi.gov/Pages/OnlineServices/Pay.aspx" xr:uid="{8E27244F-FAE4-41C3-8E3B-1E7582211CBE}"/>
    <hyperlink ref="C2" r:id="rId41" xr:uid="{A9D1761E-02AF-4EE1-BBD7-A62432380EB4}"/>
    <hyperlink ref="C36" r:id="rId42" xr:uid="{DEBEE81E-225D-4105-9DB1-BA35792D7364}"/>
  </hyperlink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53AD49-3EC7-4311-A114-A542CF5E51AD}">
  <dimension ref="A1:L164"/>
  <sheetViews>
    <sheetView workbookViewId="0">
      <selection activeCell="B2" sqref="B2"/>
    </sheetView>
  </sheetViews>
  <sheetFormatPr defaultRowHeight="15" x14ac:dyDescent="0.25"/>
  <cols>
    <col min="1" max="1" width="22.5703125" customWidth="1"/>
    <col min="2" max="12" width="25.7109375" customWidth="1"/>
  </cols>
  <sheetData>
    <row r="1" spans="1:12" ht="15.75" thickBot="1" x14ac:dyDescent="0.3">
      <c r="A1" t="s">
        <v>460</v>
      </c>
    </row>
    <row r="2" spans="1:12" ht="54.75" thickBot="1" x14ac:dyDescent="0.3">
      <c r="A2" s="188" t="s">
        <v>180</v>
      </c>
      <c r="B2" s="188" t="s">
        <v>361</v>
      </c>
      <c r="C2" s="188"/>
      <c r="D2" s="188" t="s">
        <v>362</v>
      </c>
      <c r="E2" s="188" t="s">
        <v>363</v>
      </c>
      <c r="F2" s="188"/>
      <c r="G2" s="188" t="s">
        <v>364</v>
      </c>
      <c r="H2" s="188" t="s">
        <v>365</v>
      </c>
      <c r="I2" s="188" t="s">
        <v>366</v>
      </c>
      <c r="J2" s="188" t="s">
        <v>367</v>
      </c>
      <c r="K2" s="188" t="s">
        <v>368</v>
      </c>
      <c r="L2" s="188" t="s">
        <v>369</v>
      </c>
    </row>
    <row r="3" spans="1:12" ht="39" thickBot="1" x14ac:dyDescent="0.3">
      <c r="A3" s="189" t="s">
        <v>370</v>
      </c>
      <c r="B3" s="190">
        <v>0.02</v>
      </c>
      <c r="C3" s="191" t="s">
        <v>371</v>
      </c>
      <c r="D3" s="192">
        <v>0</v>
      </c>
      <c r="E3" s="190">
        <v>0.02</v>
      </c>
      <c r="F3" s="191" t="s">
        <v>371</v>
      </c>
      <c r="G3" s="192">
        <v>0</v>
      </c>
      <c r="H3" s="192">
        <v>3000</v>
      </c>
      <c r="I3" s="192">
        <v>8500</v>
      </c>
      <c r="J3" s="192">
        <v>1500</v>
      </c>
      <c r="K3" s="192">
        <v>3000</v>
      </c>
      <c r="L3" s="192">
        <v>1000</v>
      </c>
    </row>
    <row r="4" spans="1:12" ht="19.5" thickBot="1" x14ac:dyDescent="0.3">
      <c r="A4" s="193" t="s">
        <v>372</v>
      </c>
      <c r="B4" s="194">
        <v>0.04</v>
      </c>
      <c r="C4" s="193" t="s">
        <v>371</v>
      </c>
      <c r="D4" s="195">
        <v>500</v>
      </c>
      <c r="E4" s="194">
        <v>0.04</v>
      </c>
      <c r="F4" s="193" t="s">
        <v>371</v>
      </c>
      <c r="G4" s="195">
        <v>1000</v>
      </c>
      <c r="H4" s="193"/>
      <c r="I4" s="193"/>
      <c r="J4" s="193"/>
      <c r="K4" s="193"/>
      <c r="L4" s="193"/>
    </row>
    <row r="5" spans="1:12" ht="19.5" thickBot="1" x14ac:dyDescent="0.3">
      <c r="A5" s="191" t="s">
        <v>372</v>
      </c>
      <c r="B5" s="190">
        <v>0.05</v>
      </c>
      <c r="C5" s="191" t="s">
        <v>371</v>
      </c>
      <c r="D5" s="192">
        <v>3000</v>
      </c>
      <c r="E5" s="190">
        <v>0.05</v>
      </c>
      <c r="F5" s="191" t="s">
        <v>371</v>
      </c>
      <c r="G5" s="192">
        <v>6000</v>
      </c>
      <c r="H5" s="191"/>
      <c r="I5" s="191"/>
      <c r="J5" s="191"/>
      <c r="K5" s="191"/>
      <c r="L5" s="191"/>
    </row>
    <row r="6" spans="1:12" ht="39.75" thickBot="1" x14ac:dyDescent="0.3">
      <c r="A6" s="196" t="s">
        <v>343</v>
      </c>
      <c r="B6" s="193" t="s">
        <v>373</v>
      </c>
      <c r="C6" s="193"/>
      <c r="D6" s="193"/>
      <c r="E6" s="193" t="s">
        <v>373</v>
      </c>
      <c r="F6" s="193"/>
      <c r="G6" s="193"/>
      <c r="H6" s="193" t="s">
        <v>374</v>
      </c>
      <c r="I6" s="193" t="s">
        <v>374</v>
      </c>
      <c r="J6" s="193" t="s">
        <v>374</v>
      </c>
      <c r="K6" s="193" t="s">
        <v>374</v>
      </c>
      <c r="L6" s="193" t="s">
        <v>374</v>
      </c>
    </row>
    <row r="7" spans="1:12" ht="39" thickBot="1" x14ac:dyDescent="0.3">
      <c r="A7" s="189" t="s">
        <v>375</v>
      </c>
      <c r="B7" s="190">
        <v>2.5000000000000001E-2</v>
      </c>
      <c r="C7" s="191" t="s">
        <v>371</v>
      </c>
      <c r="D7" s="192">
        <v>0</v>
      </c>
      <c r="E7" s="190">
        <v>2.5000000000000001E-2</v>
      </c>
      <c r="F7" s="191" t="s">
        <v>371</v>
      </c>
      <c r="G7" s="192">
        <v>0</v>
      </c>
      <c r="H7" s="192">
        <v>15000</v>
      </c>
      <c r="I7" s="192">
        <v>30000</v>
      </c>
      <c r="J7" s="191" t="s">
        <v>374</v>
      </c>
      <c r="K7" s="191" t="s">
        <v>374</v>
      </c>
      <c r="L7" s="191" t="s">
        <v>376</v>
      </c>
    </row>
    <row r="8" spans="1:12" ht="39" thickBot="1" x14ac:dyDescent="0.3">
      <c r="A8" s="196" t="s">
        <v>377</v>
      </c>
      <c r="B8" s="194">
        <v>0.02</v>
      </c>
      <c r="C8" s="193" t="s">
        <v>371</v>
      </c>
      <c r="D8" s="195">
        <v>0</v>
      </c>
      <c r="E8" s="194">
        <v>0.02</v>
      </c>
      <c r="F8" s="193" t="s">
        <v>371</v>
      </c>
      <c r="G8" s="195">
        <v>0</v>
      </c>
      <c r="H8" s="195">
        <v>2410</v>
      </c>
      <c r="I8" s="195">
        <v>4820</v>
      </c>
      <c r="J8" s="193" t="s">
        <v>378</v>
      </c>
      <c r="K8" s="193" t="s">
        <v>379</v>
      </c>
      <c r="L8" s="193" t="s">
        <v>378</v>
      </c>
    </row>
    <row r="9" spans="1:12" ht="19.5" thickBot="1" x14ac:dyDescent="0.3">
      <c r="A9" s="191" t="s">
        <v>380</v>
      </c>
      <c r="B9" s="190">
        <v>3.9E-2</v>
      </c>
      <c r="C9" s="191" t="s">
        <v>371</v>
      </c>
      <c r="D9" s="192">
        <v>4500</v>
      </c>
      <c r="E9" s="190">
        <v>3.9E-2</v>
      </c>
      <c r="F9" s="191" t="s">
        <v>371</v>
      </c>
      <c r="G9" s="192">
        <v>4500</v>
      </c>
      <c r="H9" s="191"/>
      <c r="I9" s="191"/>
      <c r="J9" s="191"/>
      <c r="K9" s="191"/>
      <c r="L9" s="191"/>
    </row>
    <row r="10" spans="1:12" ht="57.75" thickBot="1" x14ac:dyDescent="0.3">
      <c r="A10" s="196" t="s">
        <v>381</v>
      </c>
      <c r="B10" s="194">
        <v>0.01</v>
      </c>
      <c r="C10" s="193" t="s">
        <v>371</v>
      </c>
      <c r="D10" s="195">
        <v>0</v>
      </c>
      <c r="E10" s="194">
        <v>0.01</v>
      </c>
      <c r="F10" s="193" t="s">
        <v>371</v>
      </c>
      <c r="G10" s="195">
        <v>0</v>
      </c>
      <c r="H10" s="195">
        <v>5540</v>
      </c>
      <c r="I10" s="195">
        <v>11080</v>
      </c>
      <c r="J10" s="193" t="s">
        <v>382</v>
      </c>
      <c r="K10" s="193" t="s">
        <v>383</v>
      </c>
      <c r="L10" s="193" t="s">
        <v>384</v>
      </c>
    </row>
    <row r="11" spans="1:12" ht="19.5" thickBot="1" x14ac:dyDescent="0.3">
      <c r="A11" s="191" t="s">
        <v>385</v>
      </c>
      <c r="B11" s="190">
        <v>0.02</v>
      </c>
      <c r="C11" s="191" t="s">
        <v>371</v>
      </c>
      <c r="D11" s="192">
        <v>10756</v>
      </c>
      <c r="E11" s="190">
        <v>0.02</v>
      </c>
      <c r="F11" s="191" t="s">
        <v>371</v>
      </c>
      <c r="G11" s="192">
        <v>21512</v>
      </c>
      <c r="H11" s="191"/>
      <c r="I11" s="191"/>
      <c r="J11" s="191"/>
      <c r="K11" s="191"/>
      <c r="L11" s="191"/>
    </row>
    <row r="12" spans="1:12" ht="19.5" thickBot="1" x14ac:dyDescent="0.3">
      <c r="A12" s="193" t="s">
        <v>385</v>
      </c>
      <c r="B12" s="194">
        <v>0.04</v>
      </c>
      <c r="C12" s="193" t="s">
        <v>371</v>
      </c>
      <c r="D12" s="195">
        <v>25499</v>
      </c>
      <c r="E12" s="194">
        <v>0.04</v>
      </c>
      <c r="F12" s="193" t="s">
        <v>371</v>
      </c>
      <c r="G12" s="195">
        <v>50998</v>
      </c>
      <c r="H12" s="193"/>
      <c r="I12" s="193"/>
      <c r="J12" s="193"/>
      <c r="K12" s="193"/>
      <c r="L12" s="193"/>
    </row>
    <row r="13" spans="1:12" ht="19.5" thickBot="1" x14ac:dyDescent="0.3">
      <c r="A13" s="191" t="s">
        <v>385</v>
      </c>
      <c r="B13" s="190">
        <v>0.06</v>
      </c>
      <c r="C13" s="191" t="s">
        <v>371</v>
      </c>
      <c r="D13" s="192">
        <v>40245</v>
      </c>
      <c r="E13" s="190">
        <v>0.06</v>
      </c>
      <c r="F13" s="191" t="s">
        <v>371</v>
      </c>
      <c r="G13" s="192">
        <v>80490</v>
      </c>
      <c r="H13" s="191"/>
      <c r="I13" s="191"/>
      <c r="J13" s="191"/>
      <c r="K13" s="191"/>
      <c r="L13" s="191"/>
    </row>
    <row r="14" spans="1:12" ht="19.5" thickBot="1" x14ac:dyDescent="0.3">
      <c r="A14" s="193" t="s">
        <v>385</v>
      </c>
      <c r="B14" s="194">
        <v>0.08</v>
      </c>
      <c r="C14" s="193" t="s">
        <v>371</v>
      </c>
      <c r="D14" s="195">
        <v>55866</v>
      </c>
      <c r="E14" s="194">
        <v>0.08</v>
      </c>
      <c r="F14" s="193" t="s">
        <v>371</v>
      </c>
      <c r="G14" s="195">
        <v>111732</v>
      </c>
      <c r="H14" s="193"/>
      <c r="I14" s="193"/>
      <c r="J14" s="193"/>
      <c r="K14" s="193"/>
      <c r="L14" s="193"/>
    </row>
    <row r="15" spans="1:12" ht="19.5" thickBot="1" x14ac:dyDescent="0.3">
      <c r="A15" s="191" t="s">
        <v>385</v>
      </c>
      <c r="B15" s="190">
        <v>9.2999999999999999E-2</v>
      </c>
      <c r="C15" s="191" t="s">
        <v>371</v>
      </c>
      <c r="D15" s="192">
        <v>70606</v>
      </c>
      <c r="E15" s="190">
        <v>9.2999999999999999E-2</v>
      </c>
      <c r="F15" s="191" t="s">
        <v>371</v>
      </c>
      <c r="G15" s="192">
        <v>141732</v>
      </c>
      <c r="H15" s="191"/>
      <c r="I15" s="191"/>
      <c r="J15" s="191"/>
      <c r="K15" s="191"/>
      <c r="L15" s="191"/>
    </row>
    <row r="16" spans="1:12" ht="19.5" thickBot="1" x14ac:dyDescent="0.3">
      <c r="A16" s="193" t="s">
        <v>385</v>
      </c>
      <c r="B16" s="194">
        <v>0.10299999999999999</v>
      </c>
      <c r="C16" s="193" t="s">
        <v>371</v>
      </c>
      <c r="D16" s="195">
        <v>360659</v>
      </c>
      <c r="E16" s="194">
        <v>0.10299999999999999</v>
      </c>
      <c r="F16" s="193" t="s">
        <v>371</v>
      </c>
      <c r="G16" s="195">
        <v>721318</v>
      </c>
      <c r="H16" s="193"/>
      <c r="I16" s="193"/>
      <c r="J16" s="193"/>
      <c r="K16" s="193"/>
      <c r="L16" s="193"/>
    </row>
    <row r="17" spans="1:12" ht="19.5" thickBot="1" x14ac:dyDescent="0.3">
      <c r="A17" s="191" t="s">
        <v>385</v>
      </c>
      <c r="B17" s="190">
        <v>0.113</v>
      </c>
      <c r="C17" s="191" t="s">
        <v>371</v>
      </c>
      <c r="D17" s="192">
        <v>432787</v>
      </c>
      <c r="E17" s="190">
        <v>0.113</v>
      </c>
      <c r="F17" s="191" t="s">
        <v>371</v>
      </c>
      <c r="G17" s="192">
        <v>865574</v>
      </c>
      <c r="H17" s="191"/>
      <c r="I17" s="191"/>
      <c r="J17" s="191"/>
      <c r="K17" s="191"/>
      <c r="L17" s="191"/>
    </row>
    <row r="18" spans="1:12" ht="19.5" thickBot="1" x14ac:dyDescent="0.3">
      <c r="A18" s="193" t="s">
        <v>385</v>
      </c>
      <c r="B18" s="194">
        <v>0.123</v>
      </c>
      <c r="C18" s="193" t="s">
        <v>371</v>
      </c>
      <c r="D18" s="195">
        <v>721314</v>
      </c>
      <c r="E18" s="194">
        <v>0.123</v>
      </c>
      <c r="F18" s="193" t="s">
        <v>371</v>
      </c>
      <c r="G18" s="195">
        <v>1000000</v>
      </c>
      <c r="H18" s="193"/>
      <c r="I18" s="193"/>
      <c r="J18" s="193"/>
      <c r="K18" s="193"/>
      <c r="L18" s="193"/>
    </row>
    <row r="19" spans="1:12" ht="19.5" thickBot="1" x14ac:dyDescent="0.3">
      <c r="A19" s="191" t="s">
        <v>385</v>
      </c>
      <c r="B19" s="190">
        <v>0.13300000000000001</v>
      </c>
      <c r="C19" s="191" t="s">
        <v>371</v>
      </c>
      <c r="D19" s="192">
        <v>1000000</v>
      </c>
      <c r="E19" s="190">
        <v>0.13300000000000001</v>
      </c>
      <c r="F19" s="191" t="s">
        <v>371</v>
      </c>
      <c r="G19" s="192">
        <v>1442628</v>
      </c>
      <c r="H19" s="191"/>
      <c r="I19" s="191"/>
      <c r="J19" s="191"/>
      <c r="K19" s="191"/>
      <c r="L19" s="191"/>
    </row>
    <row r="20" spans="1:12" ht="39" thickBot="1" x14ac:dyDescent="0.3">
      <c r="A20" s="196" t="s">
        <v>386</v>
      </c>
      <c r="B20" s="194">
        <v>4.3999999999999997E-2</v>
      </c>
      <c r="C20" s="193" t="s">
        <v>371</v>
      </c>
      <c r="D20" s="195">
        <v>0</v>
      </c>
      <c r="E20" s="194">
        <v>4.3999999999999997E-2</v>
      </c>
      <c r="F20" s="193" t="s">
        <v>371</v>
      </c>
      <c r="G20" s="195">
        <v>0</v>
      </c>
      <c r="H20" s="195">
        <v>15000</v>
      </c>
      <c r="I20" s="195">
        <v>30000</v>
      </c>
      <c r="J20" s="193" t="s">
        <v>374</v>
      </c>
      <c r="K20" s="193" t="s">
        <v>374</v>
      </c>
      <c r="L20" s="193" t="s">
        <v>374</v>
      </c>
    </row>
    <row r="21" spans="1:12" ht="39" thickBot="1" x14ac:dyDescent="0.3">
      <c r="A21" s="189" t="s">
        <v>387</v>
      </c>
      <c r="B21" s="190">
        <v>0.02</v>
      </c>
      <c r="C21" s="191" t="s">
        <v>371</v>
      </c>
      <c r="D21" s="192">
        <v>0</v>
      </c>
      <c r="E21" s="190">
        <v>0.02</v>
      </c>
      <c r="F21" s="191" t="s">
        <v>371</v>
      </c>
      <c r="G21" s="192">
        <v>0</v>
      </c>
      <c r="H21" s="191" t="s">
        <v>374</v>
      </c>
      <c r="I21" s="191" t="s">
        <v>374</v>
      </c>
      <c r="J21" s="192">
        <v>15000</v>
      </c>
      <c r="K21" s="192">
        <v>24000</v>
      </c>
      <c r="L21" s="192">
        <v>0</v>
      </c>
    </row>
    <row r="22" spans="1:12" ht="19.5" thickBot="1" x14ac:dyDescent="0.3">
      <c r="A22" s="193" t="s">
        <v>388</v>
      </c>
      <c r="B22" s="194">
        <v>4.4999999999999998E-2</v>
      </c>
      <c r="C22" s="193" t="s">
        <v>371</v>
      </c>
      <c r="D22" s="195">
        <v>10000</v>
      </c>
      <c r="E22" s="194">
        <v>4.4999999999999998E-2</v>
      </c>
      <c r="F22" s="193" t="s">
        <v>371</v>
      </c>
      <c r="G22" s="195">
        <v>20000</v>
      </c>
      <c r="H22" s="193"/>
      <c r="I22" s="193"/>
      <c r="J22" s="193"/>
      <c r="K22" s="193"/>
      <c r="L22" s="193"/>
    </row>
    <row r="23" spans="1:12" ht="19.5" thickBot="1" x14ac:dyDescent="0.3">
      <c r="A23" s="191" t="s">
        <v>388</v>
      </c>
      <c r="B23" s="190">
        <v>5.5E-2</v>
      </c>
      <c r="C23" s="191" t="s">
        <v>371</v>
      </c>
      <c r="D23" s="192">
        <v>50000</v>
      </c>
      <c r="E23" s="190">
        <v>5.5E-2</v>
      </c>
      <c r="F23" s="191" t="s">
        <v>371</v>
      </c>
      <c r="G23" s="192">
        <v>100000</v>
      </c>
      <c r="H23" s="191"/>
      <c r="I23" s="191"/>
      <c r="J23" s="191"/>
      <c r="K23" s="191"/>
      <c r="L23" s="191"/>
    </row>
    <row r="24" spans="1:12" ht="19.5" thickBot="1" x14ac:dyDescent="0.3">
      <c r="A24" s="193" t="s">
        <v>388</v>
      </c>
      <c r="B24" s="194">
        <v>0.06</v>
      </c>
      <c r="C24" s="193" t="s">
        <v>371</v>
      </c>
      <c r="D24" s="195">
        <v>100000</v>
      </c>
      <c r="E24" s="194">
        <v>0.06</v>
      </c>
      <c r="F24" s="193" t="s">
        <v>371</v>
      </c>
      <c r="G24" s="195">
        <v>200000</v>
      </c>
      <c r="H24" s="193"/>
      <c r="I24" s="193"/>
      <c r="J24" s="193"/>
      <c r="K24" s="193"/>
      <c r="L24" s="193"/>
    </row>
    <row r="25" spans="1:12" ht="19.5" thickBot="1" x14ac:dyDescent="0.3">
      <c r="A25" s="191" t="s">
        <v>388</v>
      </c>
      <c r="B25" s="190">
        <v>6.5000000000000002E-2</v>
      </c>
      <c r="C25" s="191" t="s">
        <v>371</v>
      </c>
      <c r="D25" s="192">
        <v>200000</v>
      </c>
      <c r="E25" s="190">
        <v>6.5000000000000002E-2</v>
      </c>
      <c r="F25" s="191" t="s">
        <v>371</v>
      </c>
      <c r="G25" s="192">
        <v>400000</v>
      </c>
      <c r="H25" s="191"/>
      <c r="I25" s="191"/>
      <c r="J25" s="191"/>
      <c r="K25" s="191"/>
      <c r="L25" s="191"/>
    </row>
    <row r="26" spans="1:12" ht="19.5" thickBot="1" x14ac:dyDescent="0.3">
      <c r="A26" s="193" t="s">
        <v>388</v>
      </c>
      <c r="B26" s="194">
        <v>6.9000000000000006E-2</v>
      </c>
      <c r="C26" s="193" t="s">
        <v>371</v>
      </c>
      <c r="D26" s="195">
        <v>250000</v>
      </c>
      <c r="E26" s="194">
        <v>6.9000000000000006E-2</v>
      </c>
      <c r="F26" s="193" t="s">
        <v>371</v>
      </c>
      <c r="G26" s="195">
        <v>500000</v>
      </c>
      <c r="H26" s="193"/>
      <c r="I26" s="193"/>
      <c r="J26" s="193"/>
      <c r="K26" s="193"/>
      <c r="L26" s="193"/>
    </row>
    <row r="27" spans="1:12" ht="19.5" thickBot="1" x14ac:dyDescent="0.3">
      <c r="A27" s="191" t="s">
        <v>388</v>
      </c>
      <c r="B27" s="190">
        <v>6.9900000000000004E-2</v>
      </c>
      <c r="C27" s="191" t="s">
        <v>371</v>
      </c>
      <c r="D27" s="192">
        <v>500000</v>
      </c>
      <c r="E27" s="190">
        <v>6.9900000000000004E-2</v>
      </c>
      <c r="F27" s="191" t="s">
        <v>371</v>
      </c>
      <c r="G27" s="192">
        <v>1000000</v>
      </c>
      <c r="H27" s="191"/>
      <c r="I27" s="191"/>
      <c r="J27" s="191"/>
      <c r="K27" s="191"/>
      <c r="L27" s="191"/>
    </row>
    <row r="28" spans="1:12" ht="39" thickBot="1" x14ac:dyDescent="0.3">
      <c r="A28" s="196" t="s">
        <v>389</v>
      </c>
      <c r="B28" s="194">
        <v>2.1999999999999999E-2</v>
      </c>
      <c r="C28" s="193" t="s">
        <v>371</v>
      </c>
      <c r="D28" s="195">
        <v>2000</v>
      </c>
      <c r="E28" s="194">
        <v>2.1999999999999999E-2</v>
      </c>
      <c r="F28" s="193" t="s">
        <v>371</v>
      </c>
      <c r="G28" s="195">
        <v>2000</v>
      </c>
      <c r="H28" s="195">
        <v>3250</v>
      </c>
      <c r="I28" s="195">
        <v>6500</v>
      </c>
      <c r="J28" s="193" t="s">
        <v>390</v>
      </c>
      <c r="K28" s="193" t="s">
        <v>391</v>
      </c>
      <c r="L28" s="193" t="s">
        <v>390</v>
      </c>
    </row>
    <row r="29" spans="1:12" ht="19.5" thickBot="1" x14ac:dyDescent="0.3">
      <c r="A29" s="191" t="s">
        <v>392</v>
      </c>
      <c r="B29" s="190">
        <v>3.9E-2</v>
      </c>
      <c r="C29" s="191" t="s">
        <v>371</v>
      </c>
      <c r="D29" s="192">
        <v>5000</v>
      </c>
      <c r="E29" s="190">
        <v>3.9E-2</v>
      </c>
      <c r="F29" s="191" t="s">
        <v>371</v>
      </c>
      <c r="G29" s="192">
        <v>5000</v>
      </c>
      <c r="H29" s="191"/>
      <c r="I29" s="191"/>
      <c r="J29" s="191"/>
      <c r="K29" s="191"/>
      <c r="L29" s="191"/>
    </row>
    <row r="30" spans="1:12" ht="19.5" thickBot="1" x14ac:dyDescent="0.3">
      <c r="A30" s="193" t="s">
        <v>392</v>
      </c>
      <c r="B30" s="194">
        <v>4.8000000000000001E-2</v>
      </c>
      <c r="C30" s="193" t="s">
        <v>371</v>
      </c>
      <c r="D30" s="195">
        <v>10000</v>
      </c>
      <c r="E30" s="194">
        <v>4.8000000000000001E-2</v>
      </c>
      <c r="F30" s="193" t="s">
        <v>371</v>
      </c>
      <c r="G30" s="195">
        <v>10000</v>
      </c>
      <c r="H30" s="193"/>
      <c r="I30" s="193"/>
      <c r="J30" s="193"/>
      <c r="K30" s="193"/>
      <c r="L30" s="193"/>
    </row>
    <row r="31" spans="1:12" ht="19.5" thickBot="1" x14ac:dyDescent="0.3">
      <c r="A31" s="191" t="s">
        <v>392</v>
      </c>
      <c r="B31" s="190">
        <v>5.1999999999999998E-2</v>
      </c>
      <c r="C31" s="191" t="s">
        <v>371</v>
      </c>
      <c r="D31" s="192">
        <v>20000</v>
      </c>
      <c r="E31" s="190">
        <v>5.1999999999999998E-2</v>
      </c>
      <c r="F31" s="191" t="s">
        <v>371</v>
      </c>
      <c r="G31" s="192">
        <v>20000</v>
      </c>
      <c r="H31" s="191"/>
      <c r="I31" s="191"/>
      <c r="J31" s="191"/>
      <c r="K31" s="191"/>
      <c r="L31" s="191"/>
    </row>
    <row r="32" spans="1:12" ht="19.5" thickBot="1" x14ac:dyDescent="0.3">
      <c r="A32" s="193" t="s">
        <v>392</v>
      </c>
      <c r="B32" s="194">
        <v>5.5500000000000001E-2</v>
      </c>
      <c r="C32" s="193" t="s">
        <v>371</v>
      </c>
      <c r="D32" s="195">
        <v>25000</v>
      </c>
      <c r="E32" s="194">
        <v>5.5500000000000001E-2</v>
      </c>
      <c r="F32" s="193" t="s">
        <v>371</v>
      </c>
      <c r="G32" s="195">
        <v>25000</v>
      </c>
      <c r="H32" s="193"/>
      <c r="I32" s="193"/>
      <c r="J32" s="193"/>
      <c r="K32" s="193"/>
      <c r="L32" s="193"/>
    </row>
    <row r="33" spans="1:12" ht="19.5" thickBot="1" x14ac:dyDescent="0.3">
      <c r="A33" s="191" t="s">
        <v>392</v>
      </c>
      <c r="B33" s="190">
        <v>6.6000000000000003E-2</v>
      </c>
      <c r="C33" s="191" t="s">
        <v>371</v>
      </c>
      <c r="D33" s="192">
        <v>60000</v>
      </c>
      <c r="E33" s="190">
        <v>6.6000000000000003E-2</v>
      </c>
      <c r="F33" s="191" t="s">
        <v>371</v>
      </c>
      <c r="G33" s="192">
        <v>60000</v>
      </c>
      <c r="H33" s="191"/>
      <c r="I33" s="191"/>
      <c r="J33" s="191"/>
      <c r="K33" s="191"/>
      <c r="L33" s="191"/>
    </row>
    <row r="34" spans="1:12" ht="20.25" thickBot="1" x14ac:dyDescent="0.3">
      <c r="A34" s="196" t="s">
        <v>345</v>
      </c>
      <c r="B34" s="193" t="s">
        <v>373</v>
      </c>
      <c r="C34" s="193"/>
      <c r="D34" s="193"/>
      <c r="E34" s="193" t="s">
        <v>373</v>
      </c>
      <c r="F34" s="193"/>
      <c r="G34" s="193"/>
      <c r="H34" s="193" t="s">
        <v>374</v>
      </c>
      <c r="I34" s="193" t="s">
        <v>374</v>
      </c>
      <c r="J34" s="193" t="s">
        <v>374</v>
      </c>
      <c r="K34" s="193" t="s">
        <v>374</v>
      </c>
      <c r="L34" s="193" t="s">
        <v>374</v>
      </c>
    </row>
    <row r="35" spans="1:12" ht="20.25" thickBot="1" x14ac:dyDescent="0.3">
      <c r="A35" s="189" t="s">
        <v>216</v>
      </c>
      <c r="B35" s="190">
        <v>5.3900000000000003E-2</v>
      </c>
      <c r="C35" s="191" t="s">
        <v>371</v>
      </c>
      <c r="D35" s="192">
        <v>0</v>
      </c>
      <c r="E35" s="190">
        <v>5.3900000000000003E-2</v>
      </c>
      <c r="F35" s="191" t="s">
        <v>371</v>
      </c>
      <c r="G35" s="192">
        <v>0</v>
      </c>
      <c r="H35" s="192">
        <v>12000</v>
      </c>
      <c r="I35" s="192">
        <v>24000</v>
      </c>
      <c r="J35" s="191" t="s">
        <v>374</v>
      </c>
      <c r="K35" s="191" t="s">
        <v>374</v>
      </c>
      <c r="L35" s="192">
        <v>4000</v>
      </c>
    </row>
    <row r="36" spans="1:12" ht="20.25" thickBot="1" x14ac:dyDescent="0.3">
      <c r="A36" s="196" t="s">
        <v>393</v>
      </c>
      <c r="B36" s="194">
        <v>1.4E-2</v>
      </c>
      <c r="C36" s="193" t="s">
        <v>371</v>
      </c>
      <c r="D36" s="195">
        <v>0</v>
      </c>
      <c r="E36" s="194">
        <v>1.4E-2</v>
      </c>
      <c r="F36" s="193" t="s">
        <v>371</v>
      </c>
      <c r="G36" s="195">
        <v>0</v>
      </c>
      <c r="H36" s="195">
        <v>4400</v>
      </c>
      <c r="I36" s="195">
        <v>8800</v>
      </c>
      <c r="J36" s="195">
        <v>1144</v>
      </c>
      <c r="K36" s="195">
        <v>2288</v>
      </c>
      <c r="L36" s="195">
        <v>1144</v>
      </c>
    </row>
    <row r="37" spans="1:12" ht="19.5" thickBot="1" x14ac:dyDescent="0.3">
      <c r="A37" s="191" t="s">
        <v>394</v>
      </c>
      <c r="B37" s="190">
        <v>3.2000000000000001E-2</v>
      </c>
      <c r="C37" s="191" t="s">
        <v>371</v>
      </c>
      <c r="D37" s="192">
        <v>9600</v>
      </c>
      <c r="E37" s="190">
        <v>3.2000000000000001E-2</v>
      </c>
      <c r="F37" s="191" t="s">
        <v>371</v>
      </c>
      <c r="G37" s="192">
        <v>19200</v>
      </c>
      <c r="H37" s="191"/>
      <c r="I37" s="191"/>
      <c r="J37" s="191"/>
      <c r="K37" s="191"/>
      <c r="L37" s="191"/>
    </row>
    <row r="38" spans="1:12" ht="19.5" thickBot="1" x14ac:dyDescent="0.3">
      <c r="A38" s="193" t="s">
        <v>394</v>
      </c>
      <c r="B38" s="194">
        <v>5.5E-2</v>
      </c>
      <c r="C38" s="193" t="s">
        <v>371</v>
      </c>
      <c r="D38" s="195">
        <v>14400</v>
      </c>
      <c r="E38" s="194">
        <v>5.5E-2</v>
      </c>
      <c r="F38" s="193" t="s">
        <v>371</v>
      </c>
      <c r="G38" s="195">
        <v>28800</v>
      </c>
      <c r="H38" s="193"/>
      <c r="I38" s="193"/>
      <c r="J38" s="193"/>
      <c r="K38" s="193"/>
      <c r="L38" s="193"/>
    </row>
    <row r="39" spans="1:12" ht="19.5" thickBot="1" x14ac:dyDescent="0.3">
      <c r="A39" s="191" t="s">
        <v>394</v>
      </c>
      <c r="B39" s="190">
        <v>6.4000000000000001E-2</v>
      </c>
      <c r="C39" s="191" t="s">
        <v>371</v>
      </c>
      <c r="D39" s="192">
        <v>19200</v>
      </c>
      <c r="E39" s="190">
        <v>6.4000000000000001E-2</v>
      </c>
      <c r="F39" s="191" t="s">
        <v>371</v>
      </c>
      <c r="G39" s="192">
        <v>38400</v>
      </c>
      <c r="H39" s="191"/>
      <c r="I39" s="191"/>
      <c r="J39" s="191"/>
      <c r="K39" s="191"/>
      <c r="L39" s="191"/>
    </row>
    <row r="40" spans="1:12" ht="19.5" thickBot="1" x14ac:dyDescent="0.3">
      <c r="A40" s="193" t="s">
        <v>394</v>
      </c>
      <c r="B40" s="194">
        <v>6.8000000000000005E-2</v>
      </c>
      <c r="C40" s="193" t="s">
        <v>371</v>
      </c>
      <c r="D40" s="195">
        <v>24000</v>
      </c>
      <c r="E40" s="194">
        <v>6.8000000000000005E-2</v>
      </c>
      <c r="F40" s="193" t="s">
        <v>371</v>
      </c>
      <c r="G40" s="195">
        <v>48000</v>
      </c>
      <c r="H40" s="193"/>
      <c r="I40" s="193"/>
      <c r="J40" s="193"/>
      <c r="K40" s="193"/>
      <c r="L40" s="193"/>
    </row>
    <row r="41" spans="1:12" ht="19.5" thickBot="1" x14ac:dyDescent="0.3">
      <c r="A41" s="191" t="s">
        <v>394</v>
      </c>
      <c r="B41" s="190">
        <v>7.1999999999999995E-2</v>
      </c>
      <c r="C41" s="191" t="s">
        <v>371</v>
      </c>
      <c r="D41" s="192">
        <v>36000</v>
      </c>
      <c r="E41" s="190">
        <v>7.1999999999999995E-2</v>
      </c>
      <c r="F41" s="191" t="s">
        <v>371</v>
      </c>
      <c r="G41" s="192">
        <v>72000</v>
      </c>
      <c r="H41" s="191"/>
      <c r="I41" s="191"/>
      <c r="J41" s="191"/>
      <c r="K41" s="191"/>
      <c r="L41" s="191"/>
    </row>
    <row r="42" spans="1:12" ht="19.5" thickBot="1" x14ac:dyDescent="0.3">
      <c r="A42" s="193" t="s">
        <v>394</v>
      </c>
      <c r="B42" s="194">
        <v>7.5999999999999998E-2</v>
      </c>
      <c r="C42" s="193" t="s">
        <v>371</v>
      </c>
      <c r="D42" s="195">
        <v>48000</v>
      </c>
      <c r="E42" s="194">
        <v>7.5999999999999998E-2</v>
      </c>
      <c r="F42" s="193" t="s">
        <v>371</v>
      </c>
      <c r="G42" s="195">
        <v>96000</v>
      </c>
      <c r="H42" s="193"/>
      <c r="I42" s="193"/>
      <c r="J42" s="193"/>
      <c r="K42" s="193"/>
      <c r="L42" s="193"/>
    </row>
    <row r="43" spans="1:12" ht="19.5" thickBot="1" x14ac:dyDescent="0.3">
      <c r="A43" s="191" t="s">
        <v>394</v>
      </c>
      <c r="B43" s="190">
        <v>7.9000000000000001E-2</v>
      </c>
      <c r="C43" s="191" t="s">
        <v>371</v>
      </c>
      <c r="D43" s="192">
        <v>125000</v>
      </c>
      <c r="E43" s="190">
        <v>7.9000000000000001E-2</v>
      </c>
      <c r="F43" s="191" t="s">
        <v>371</v>
      </c>
      <c r="G43" s="192">
        <v>250000</v>
      </c>
      <c r="H43" s="191"/>
      <c r="I43" s="191"/>
      <c r="J43" s="191"/>
      <c r="K43" s="191"/>
      <c r="L43" s="191"/>
    </row>
    <row r="44" spans="1:12" ht="19.5" thickBot="1" x14ac:dyDescent="0.3">
      <c r="A44" s="193" t="s">
        <v>394</v>
      </c>
      <c r="B44" s="194">
        <v>8.2500000000000004E-2</v>
      </c>
      <c r="C44" s="193" t="s">
        <v>371</v>
      </c>
      <c r="D44" s="195">
        <v>175000</v>
      </c>
      <c r="E44" s="194">
        <v>8.2500000000000004E-2</v>
      </c>
      <c r="F44" s="193" t="s">
        <v>371</v>
      </c>
      <c r="G44" s="195">
        <v>350000</v>
      </c>
      <c r="H44" s="193"/>
      <c r="I44" s="193"/>
      <c r="J44" s="193"/>
      <c r="K44" s="193"/>
      <c r="L44" s="193"/>
    </row>
    <row r="45" spans="1:12" ht="19.5" thickBot="1" x14ac:dyDescent="0.3">
      <c r="A45" s="191" t="s">
        <v>394</v>
      </c>
      <c r="B45" s="190">
        <v>0.09</v>
      </c>
      <c r="C45" s="191" t="s">
        <v>371</v>
      </c>
      <c r="D45" s="192">
        <v>225000</v>
      </c>
      <c r="E45" s="190">
        <v>0.09</v>
      </c>
      <c r="F45" s="191" t="s">
        <v>371</v>
      </c>
      <c r="G45" s="192">
        <v>450000</v>
      </c>
      <c r="H45" s="191"/>
      <c r="I45" s="191"/>
      <c r="J45" s="191"/>
      <c r="K45" s="191"/>
      <c r="L45" s="191"/>
    </row>
    <row r="46" spans="1:12" ht="19.5" thickBot="1" x14ac:dyDescent="0.3">
      <c r="A46" s="193" t="s">
        <v>394</v>
      </c>
      <c r="B46" s="194">
        <v>0.1</v>
      </c>
      <c r="C46" s="193" t="s">
        <v>371</v>
      </c>
      <c r="D46" s="195">
        <v>275000</v>
      </c>
      <c r="E46" s="194">
        <v>0.1</v>
      </c>
      <c r="F46" s="193" t="s">
        <v>371</v>
      </c>
      <c r="G46" s="195">
        <v>550000</v>
      </c>
      <c r="H46" s="193"/>
      <c r="I46" s="193"/>
      <c r="J46" s="193"/>
      <c r="K46" s="193"/>
      <c r="L46" s="193"/>
    </row>
    <row r="47" spans="1:12" ht="19.5" thickBot="1" x14ac:dyDescent="0.3">
      <c r="A47" s="191" t="s">
        <v>394</v>
      </c>
      <c r="B47" s="190">
        <v>0.11</v>
      </c>
      <c r="C47" s="191" t="s">
        <v>371</v>
      </c>
      <c r="D47" s="192">
        <v>325000</v>
      </c>
      <c r="E47" s="190">
        <v>0.11</v>
      </c>
      <c r="F47" s="191" t="s">
        <v>371</v>
      </c>
      <c r="G47" s="192">
        <v>650000</v>
      </c>
      <c r="H47" s="191"/>
      <c r="I47" s="191"/>
      <c r="J47" s="191"/>
      <c r="K47" s="191"/>
      <c r="L47" s="191"/>
    </row>
    <row r="48" spans="1:12" ht="39" thickBot="1" x14ac:dyDescent="0.3">
      <c r="A48" s="196" t="s">
        <v>395</v>
      </c>
      <c r="B48" s="194">
        <v>5.6950000000000001E-2</v>
      </c>
      <c r="C48" s="193" t="s">
        <v>371</v>
      </c>
      <c r="D48" s="195">
        <v>4673</v>
      </c>
      <c r="E48" s="194">
        <v>5.6950000000000001E-2</v>
      </c>
      <c r="F48" s="193" t="s">
        <v>371</v>
      </c>
      <c r="G48" s="195">
        <v>9346</v>
      </c>
      <c r="H48" s="195">
        <v>15000</v>
      </c>
      <c r="I48" s="195">
        <v>30000</v>
      </c>
      <c r="J48" s="193" t="s">
        <v>374</v>
      </c>
      <c r="K48" s="193" t="s">
        <v>374</v>
      </c>
      <c r="L48" s="193" t="s">
        <v>374</v>
      </c>
    </row>
    <row r="49" spans="1:12" ht="39" thickBot="1" x14ac:dyDescent="0.3">
      <c r="A49" s="189" t="s">
        <v>396</v>
      </c>
      <c r="B49" s="190">
        <v>4.9500000000000002E-2</v>
      </c>
      <c r="C49" s="191" t="s">
        <v>371</v>
      </c>
      <c r="D49" s="192">
        <v>0</v>
      </c>
      <c r="E49" s="190">
        <v>4.9500000000000002E-2</v>
      </c>
      <c r="F49" s="191" t="s">
        <v>371</v>
      </c>
      <c r="G49" s="192">
        <v>0</v>
      </c>
      <c r="H49" s="191" t="s">
        <v>374</v>
      </c>
      <c r="I49" s="191" t="s">
        <v>374</v>
      </c>
      <c r="J49" s="192">
        <v>2850</v>
      </c>
      <c r="K49" s="192">
        <v>5700</v>
      </c>
      <c r="L49" s="192">
        <v>2850</v>
      </c>
    </row>
    <row r="50" spans="1:12" ht="39" thickBot="1" x14ac:dyDescent="0.3">
      <c r="A50" s="196" t="s">
        <v>397</v>
      </c>
      <c r="B50" s="194">
        <v>0.03</v>
      </c>
      <c r="C50" s="193" t="s">
        <v>371</v>
      </c>
      <c r="D50" s="195">
        <v>0</v>
      </c>
      <c r="E50" s="194">
        <v>0.03</v>
      </c>
      <c r="F50" s="193" t="s">
        <v>371</v>
      </c>
      <c r="G50" s="195">
        <v>0</v>
      </c>
      <c r="H50" s="193" t="s">
        <v>374</v>
      </c>
      <c r="I50" s="193" t="s">
        <v>374</v>
      </c>
      <c r="J50" s="195">
        <v>1000</v>
      </c>
      <c r="K50" s="195">
        <v>2000</v>
      </c>
      <c r="L50" s="195">
        <v>1000</v>
      </c>
    </row>
    <row r="51" spans="1:12" ht="20.25" thickBot="1" x14ac:dyDescent="0.3">
      <c r="A51" s="189" t="s">
        <v>398</v>
      </c>
      <c r="B51" s="190">
        <v>3.7999999999999999E-2</v>
      </c>
      <c r="C51" s="191" t="s">
        <v>371</v>
      </c>
      <c r="D51" s="192">
        <v>0</v>
      </c>
      <c r="E51" s="190">
        <v>3.7999999999999999E-2</v>
      </c>
      <c r="F51" s="191" t="s">
        <v>371</v>
      </c>
      <c r="G51" s="192">
        <v>0</v>
      </c>
      <c r="H51" s="191" t="s">
        <v>374</v>
      </c>
      <c r="I51" s="191" t="s">
        <v>374</v>
      </c>
      <c r="J51" s="191" t="s">
        <v>399</v>
      </c>
      <c r="K51" s="191" t="s">
        <v>400</v>
      </c>
      <c r="L51" s="191" t="s">
        <v>399</v>
      </c>
    </row>
    <row r="52" spans="1:12" ht="20.25" thickBot="1" x14ac:dyDescent="0.3">
      <c r="A52" s="196" t="s">
        <v>401</v>
      </c>
      <c r="B52" s="194">
        <v>5.1999999999999998E-2</v>
      </c>
      <c r="C52" s="193" t="s">
        <v>371</v>
      </c>
      <c r="D52" s="195">
        <v>0</v>
      </c>
      <c r="E52" s="194">
        <v>5.1999999999999998E-2</v>
      </c>
      <c r="F52" s="193" t="s">
        <v>371</v>
      </c>
      <c r="G52" s="195">
        <v>0</v>
      </c>
      <c r="H52" s="195">
        <v>3605</v>
      </c>
      <c r="I52" s="195">
        <v>8240</v>
      </c>
      <c r="J52" s="195">
        <v>9160</v>
      </c>
      <c r="K52" s="195">
        <v>18320</v>
      </c>
      <c r="L52" s="195">
        <v>2320</v>
      </c>
    </row>
    <row r="53" spans="1:12" ht="19.5" thickBot="1" x14ac:dyDescent="0.3">
      <c r="A53" s="191" t="s">
        <v>402</v>
      </c>
      <c r="B53" s="190">
        <v>5.5800000000000002E-2</v>
      </c>
      <c r="C53" s="191" t="s">
        <v>371</v>
      </c>
      <c r="D53" s="192">
        <v>23000</v>
      </c>
      <c r="E53" s="190">
        <v>5.5800000000000002E-2</v>
      </c>
      <c r="F53" s="191" t="s">
        <v>371</v>
      </c>
      <c r="G53" s="192">
        <v>46000</v>
      </c>
      <c r="H53" s="191"/>
      <c r="I53" s="191"/>
      <c r="J53" s="191"/>
      <c r="K53" s="191"/>
      <c r="L53" s="191"/>
    </row>
    <row r="54" spans="1:12" ht="39" thickBot="1" x14ac:dyDescent="0.3">
      <c r="A54" s="196" t="s">
        <v>403</v>
      </c>
      <c r="B54" s="194">
        <v>0.04</v>
      </c>
      <c r="C54" s="193" t="s">
        <v>371</v>
      </c>
      <c r="D54" s="195">
        <v>0</v>
      </c>
      <c r="E54" s="194">
        <v>0.04</v>
      </c>
      <c r="F54" s="193" t="s">
        <v>371</v>
      </c>
      <c r="G54" s="195">
        <v>0</v>
      </c>
      <c r="H54" s="195">
        <v>3270</v>
      </c>
      <c r="I54" s="195">
        <v>6540</v>
      </c>
      <c r="J54" s="193" t="s">
        <v>374</v>
      </c>
      <c r="K54" s="193" t="s">
        <v>374</v>
      </c>
      <c r="L54" s="193" t="s">
        <v>374</v>
      </c>
    </row>
    <row r="55" spans="1:12" ht="20.25" thickBot="1" x14ac:dyDescent="0.3">
      <c r="A55" s="189" t="s">
        <v>404</v>
      </c>
      <c r="B55" s="190">
        <v>0.03</v>
      </c>
      <c r="C55" s="191" t="s">
        <v>371</v>
      </c>
      <c r="D55" s="192">
        <v>0</v>
      </c>
      <c r="E55" s="190">
        <v>0.03</v>
      </c>
      <c r="F55" s="191" t="s">
        <v>371</v>
      </c>
      <c r="G55" s="192">
        <v>0</v>
      </c>
      <c r="H55" s="192">
        <v>12500</v>
      </c>
      <c r="I55" s="192">
        <v>25000</v>
      </c>
      <c r="J55" s="191" t="s">
        <v>374</v>
      </c>
      <c r="K55" s="191" t="s">
        <v>374</v>
      </c>
      <c r="L55" s="191" t="s">
        <v>374</v>
      </c>
    </row>
    <row r="56" spans="1:12" ht="39" thickBot="1" x14ac:dyDescent="0.3">
      <c r="A56" s="196" t="s">
        <v>405</v>
      </c>
      <c r="B56" s="194">
        <v>5.8000000000000003E-2</v>
      </c>
      <c r="C56" s="193" t="s">
        <v>371</v>
      </c>
      <c r="D56" s="195">
        <v>0</v>
      </c>
      <c r="E56" s="194">
        <v>5.8000000000000003E-2</v>
      </c>
      <c r="F56" s="193" t="s">
        <v>371</v>
      </c>
      <c r="G56" s="195">
        <v>0</v>
      </c>
      <c r="H56" s="195">
        <v>15000</v>
      </c>
      <c r="I56" s="195">
        <v>30000</v>
      </c>
      <c r="J56" s="195">
        <v>5150</v>
      </c>
      <c r="K56" s="195">
        <v>10300</v>
      </c>
      <c r="L56" s="193" t="s">
        <v>406</v>
      </c>
    </row>
    <row r="57" spans="1:12" ht="19.5" thickBot="1" x14ac:dyDescent="0.3">
      <c r="A57" s="191" t="s">
        <v>407</v>
      </c>
      <c r="B57" s="190">
        <v>6.7500000000000004E-2</v>
      </c>
      <c r="C57" s="191" t="s">
        <v>371</v>
      </c>
      <c r="D57" s="192">
        <v>26800</v>
      </c>
      <c r="E57" s="190">
        <v>6.7500000000000004E-2</v>
      </c>
      <c r="F57" s="191" t="s">
        <v>371</v>
      </c>
      <c r="G57" s="192">
        <v>53600</v>
      </c>
      <c r="H57" s="191"/>
      <c r="I57" s="191"/>
      <c r="J57" s="191"/>
      <c r="K57" s="191"/>
      <c r="L57" s="191"/>
    </row>
    <row r="58" spans="1:12" ht="19.5" thickBot="1" x14ac:dyDescent="0.3">
      <c r="A58" s="193" t="s">
        <v>407</v>
      </c>
      <c r="B58" s="194">
        <v>7.1499999999999994E-2</v>
      </c>
      <c r="C58" s="193" t="s">
        <v>371</v>
      </c>
      <c r="D58" s="195">
        <v>63450</v>
      </c>
      <c r="E58" s="194">
        <v>7.1499999999999994E-2</v>
      </c>
      <c r="F58" s="193" t="s">
        <v>371</v>
      </c>
      <c r="G58" s="195">
        <v>126900</v>
      </c>
      <c r="H58" s="193"/>
      <c r="I58" s="193"/>
      <c r="J58" s="193"/>
      <c r="K58" s="193"/>
      <c r="L58" s="193"/>
    </row>
    <row r="59" spans="1:12" ht="39" thickBot="1" x14ac:dyDescent="0.3">
      <c r="A59" s="189" t="s">
        <v>408</v>
      </c>
      <c r="B59" s="190">
        <v>0.02</v>
      </c>
      <c r="C59" s="191" t="s">
        <v>371</v>
      </c>
      <c r="D59" s="192">
        <v>0</v>
      </c>
      <c r="E59" s="190">
        <v>0.02</v>
      </c>
      <c r="F59" s="191" t="s">
        <v>371</v>
      </c>
      <c r="G59" s="192">
        <v>0</v>
      </c>
      <c r="H59" s="192">
        <v>2700</v>
      </c>
      <c r="I59" s="192">
        <v>5450</v>
      </c>
      <c r="J59" s="192">
        <v>3200</v>
      </c>
      <c r="K59" s="192">
        <v>6400</v>
      </c>
      <c r="L59" s="192">
        <v>3200</v>
      </c>
    </row>
    <row r="60" spans="1:12" ht="19.5" thickBot="1" x14ac:dyDescent="0.3">
      <c r="A60" s="193" t="s">
        <v>409</v>
      </c>
      <c r="B60" s="194">
        <v>0.03</v>
      </c>
      <c r="C60" s="193" t="s">
        <v>371</v>
      </c>
      <c r="D60" s="195">
        <v>1000</v>
      </c>
      <c r="E60" s="194">
        <v>0.03</v>
      </c>
      <c r="F60" s="193" t="s">
        <v>371</v>
      </c>
      <c r="G60" s="195">
        <v>1000</v>
      </c>
      <c r="H60" s="193"/>
      <c r="I60" s="193"/>
      <c r="J60" s="193"/>
      <c r="K60" s="193"/>
      <c r="L60" s="193"/>
    </row>
    <row r="61" spans="1:12" ht="19.5" thickBot="1" x14ac:dyDescent="0.3">
      <c r="A61" s="191" t="s">
        <v>409</v>
      </c>
      <c r="B61" s="190">
        <v>0.04</v>
      </c>
      <c r="C61" s="191" t="s">
        <v>371</v>
      </c>
      <c r="D61" s="192">
        <v>2000</v>
      </c>
      <c r="E61" s="190">
        <v>0.04</v>
      </c>
      <c r="F61" s="191" t="s">
        <v>371</v>
      </c>
      <c r="G61" s="192">
        <v>2000</v>
      </c>
      <c r="H61" s="191"/>
      <c r="I61" s="191"/>
      <c r="J61" s="191"/>
      <c r="K61" s="191"/>
      <c r="L61" s="191"/>
    </row>
    <row r="62" spans="1:12" ht="19.5" thickBot="1" x14ac:dyDescent="0.3">
      <c r="A62" s="193" t="s">
        <v>409</v>
      </c>
      <c r="B62" s="194">
        <v>4.7500000000000001E-2</v>
      </c>
      <c r="C62" s="193" t="s">
        <v>371</v>
      </c>
      <c r="D62" s="195">
        <v>3000</v>
      </c>
      <c r="E62" s="194">
        <v>4.7500000000000001E-2</v>
      </c>
      <c r="F62" s="193" t="s">
        <v>371</v>
      </c>
      <c r="G62" s="195">
        <v>3000</v>
      </c>
      <c r="H62" s="193"/>
      <c r="I62" s="193"/>
      <c r="J62" s="193"/>
      <c r="K62" s="193"/>
      <c r="L62" s="193"/>
    </row>
    <row r="63" spans="1:12" ht="19.5" thickBot="1" x14ac:dyDescent="0.3">
      <c r="A63" s="191" t="s">
        <v>409</v>
      </c>
      <c r="B63" s="190">
        <v>0.05</v>
      </c>
      <c r="C63" s="191" t="s">
        <v>371</v>
      </c>
      <c r="D63" s="192">
        <v>100000</v>
      </c>
      <c r="E63" s="190">
        <v>0.05</v>
      </c>
      <c r="F63" s="191" t="s">
        <v>371</v>
      </c>
      <c r="G63" s="192">
        <v>150000</v>
      </c>
      <c r="H63" s="191"/>
      <c r="I63" s="191"/>
      <c r="J63" s="191"/>
      <c r="K63" s="191"/>
      <c r="L63" s="191"/>
    </row>
    <row r="64" spans="1:12" ht="19.5" thickBot="1" x14ac:dyDescent="0.3">
      <c r="A64" s="193" t="s">
        <v>409</v>
      </c>
      <c r="B64" s="194">
        <v>5.2499999999999998E-2</v>
      </c>
      <c r="C64" s="193" t="s">
        <v>371</v>
      </c>
      <c r="D64" s="195">
        <v>125000</v>
      </c>
      <c r="E64" s="194">
        <v>5.2499999999999998E-2</v>
      </c>
      <c r="F64" s="193" t="s">
        <v>371</v>
      </c>
      <c r="G64" s="195">
        <v>175000</v>
      </c>
      <c r="H64" s="193"/>
      <c r="I64" s="193"/>
      <c r="J64" s="193"/>
      <c r="K64" s="193"/>
      <c r="L64" s="193"/>
    </row>
    <row r="65" spans="1:12" ht="19.5" thickBot="1" x14ac:dyDescent="0.3">
      <c r="A65" s="191" t="s">
        <v>409</v>
      </c>
      <c r="B65" s="190">
        <v>5.5E-2</v>
      </c>
      <c r="C65" s="191" t="s">
        <v>371</v>
      </c>
      <c r="D65" s="192">
        <v>150000</v>
      </c>
      <c r="E65" s="190">
        <v>5.5E-2</v>
      </c>
      <c r="F65" s="191" t="s">
        <v>371</v>
      </c>
      <c r="G65" s="192">
        <v>225000</v>
      </c>
      <c r="H65" s="191"/>
      <c r="I65" s="191"/>
      <c r="J65" s="191"/>
      <c r="K65" s="191"/>
      <c r="L65" s="191"/>
    </row>
    <row r="66" spans="1:12" ht="19.5" thickBot="1" x14ac:dyDescent="0.3">
      <c r="A66" s="193" t="s">
        <v>409</v>
      </c>
      <c r="B66" s="194">
        <v>5.7500000000000002E-2</v>
      </c>
      <c r="C66" s="193" t="s">
        <v>371</v>
      </c>
      <c r="D66" s="195">
        <v>250000</v>
      </c>
      <c r="E66" s="194">
        <v>5.7500000000000002E-2</v>
      </c>
      <c r="F66" s="193" t="s">
        <v>371</v>
      </c>
      <c r="G66" s="195">
        <v>300000</v>
      </c>
      <c r="H66" s="193"/>
      <c r="I66" s="193"/>
      <c r="J66" s="193"/>
      <c r="K66" s="193"/>
      <c r="L66" s="193"/>
    </row>
    <row r="67" spans="1:12" ht="39.75" thickBot="1" x14ac:dyDescent="0.3">
      <c r="A67" s="189" t="s">
        <v>410</v>
      </c>
      <c r="B67" s="190">
        <v>0.05</v>
      </c>
      <c r="C67" s="191" t="s">
        <v>371</v>
      </c>
      <c r="D67" s="192">
        <v>0</v>
      </c>
      <c r="E67" s="190">
        <v>0.05</v>
      </c>
      <c r="F67" s="191" t="s">
        <v>371</v>
      </c>
      <c r="G67" s="192">
        <v>0</v>
      </c>
      <c r="H67" s="191" t="s">
        <v>374</v>
      </c>
      <c r="I67" s="191" t="s">
        <v>374</v>
      </c>
      <c r="J67" s="192">
        <v>4400</v>
      </c>
      <c r="K67" s="192">
        <v>8800</v>
      </c>
      <c r="L67" s="192">
        <v>1000</v>
      </c>
    </row>
    <row r="68" spans="1:12" ht="38.25" thickBot="1" x14ac:dyDescent="0.3">
      <c r="A68" s="193" t="s">
        <v>411</v>
      </c>
      <c r="B68" s="194">
        <v>0.09</v>
      </c>
      <c r="C68" s="193" t="s">
        <v>371</v>
      </c>
      <c r="D68" s="195">
        <v>1083150</v>
      </c>
      <c r="E68" s="194">
        <v>0.09</v>
      </c>
      <c r="F68" s="193" t="s">
        <v>371</v>
      </c>
      <c r="G68" s="195">
        <v>1083150</v>
      </c>
      <c r="H68" s="193"/>
      <c r="I68" s="193"/>
      <c r="J68" s="193"/>
      <c r="K68" s="193"/>
      <c r="L68" s="193"/>
    </row>
    <row r="69" spans="1:12" ht="39" thickBot="1" x14ac:dyDescent="0.3">
      <c r="A69" s="189" t="s">
        <v>412</v>
      </c>
      <c r="B69" s="190">
        <v>4.2500000000000003E-2</v>
      </c>
      <c r="C69" s="191" t="s">
        <v>371</v>
      </c>
      <c r="D69" s="192">
        <v>0</v>
      </c>
      <c r="E69" s="190">
        <v>4.2500000000000003E-2</v>
      </c>
      <c r="F69" s="191" t="s">
        <v>371</v>
      </c>
      <c r="G69" s="192">
        <v>0</v>
      </c>
      <c r="H69" s="191" t="s">
        <v>374</v>
      </c>
      <c r="I69" s="191" t="s">
        <v>374</v>
      </c>
      <c r="J69" s="192">
        <v>5800</v>
      </c>
      <c r="K69" s="192">
        <v>11600</v>
      </c>
      <c r="L69" s="192">
        <v>5800</v>
      </c>
    </row>
    <row r="70" spans="1:12" ht="39" thickBot="1" x14ac:dyDescent="0.3">
      <c r="A70" s="196" t="s">
        <v>413</v>
      </c>
      <c r="B70" s="194">
        <v>5.3499999999999999E-2</v>
      </c>
      <c r="C70" s="193" t="s">
        <v>371</v>
      </c>
      <c r="D70" s="195">
        <v>0</v>
      </c>
      <c r="E70" s="194">
        <v>5.3499999999999999E-2</v>
      </c>
      <c r="F70" s="193" t="s">
        <v>371</v>
      </c>
      <c r="G70" s="195">
        <v>0</v>
      </c>
      <c r="H70" s="195">
        <v>14950</v>
      </c>
      <c r="I70" s="195">
        <v>29900</v>
      </c>
      <c r="J70" s="193" t="s">
        <v>374</v>
      </c>
      <c r="K70" s="193" t="s">
        <v>374</v>
      </c>
      <c r="L70" s="195">
        <v>5200</v>
      </c>
    </row>
    <row r="71" spans="1:12" ht="19.5" thickBot="1" x14ac:dyDescent="0.3">
      <c r="A71" s="191" t="s">
        <v>414</v>
      </c>
      <c r="B71" s="190">
        <v>6.8000000000000005E-2</v>
      </c>
      <c r="C71" s="191" t="s">
        <v>371</v>
      </c>
      <c r="D71" s="192">
        <v>32570</v>
      </c>
      <c r="E71" s="190">
        <v>6.8000000000000005E-2</v>
      </c>
      <c r="F71" s="191" t="s">
        <v>371</v>
      </c>
      <c r="G71" s="192">
        <v>47620</v>
      </c>
      <c r="H71" s="191"/>
      <c r="I71" s="191"/>
      <c r="J71" s="191"/>
      <c r="K71" s="191"/>
      <c r="L71" s="191"/>
    </row>
    <row r="72" spans="1:12" ht="19.5" thickBot="1" x14ac:dyDescent="0.3">
      <c r="A72" s="193" t="s">
        <v>414</v>
      </c>
      <c r="B72" s="194">
        <v>7.85E-2</v>
      </c>
      <c r="C72" s="193" t="s">
        <v>371</v>
      </c>
      <c r="D72" s="195">
        <v>106990</v>
      </c>
      <c r="E72" s="194">
        <v>7.85E-2</v>
      </c>
      <c r="F72" s="193" t="s">
        <v>371</v>
      </c>
      <c r="G72" s="195">
        <v>189180</v>
      </c>
      <c r="H72" s="193"/>
      <c r="I72" s="193"/>
      <c r="J72" s="193"/>
      <c r="K72" s="193"/>
      <c r="L72" s="193"/>
    </row>
    <row r="73" spans="1:12" ht="19.5" thickBot="1" x14ac:dyDescent="0.3">
      <c r="A73" s="191" t="s">
        <v>414</v>
      </c>
      <c r="B73" s="190">
        <v>9.8500000000000004E-2</v>
      </c>
      <c r="C73" s="191" t="s">
        <v>371</v>
      </c>
      <c r="D73" s="192">
        <v>198630</v>
      </c>
      <c r="E73" s="190">
        <v>9.8500000000000004E-2</v>
      </c>
      <c r="F73" s="191" t="s">
        <v>371</v>
      </c>
      <c r="G73" s="192">
        <v>330410</v>
      </c>
      <c r="H73" s="191"/>
      <c r="I73" s="191"/>
      <c r="J73" s="191"/>
      <c r="K73" s="191"/>
      <c r="L73" s="191"/>
    </row>
    <row r="74" spans="1:12" ht="20.25" thickBot="1" x14ac:dyDescent="0.3">
      <c r="A74" s="196" t="s">
        <v>268</v>
      </c>
      <c r="B74" s="194">
        <v>4.3999999999999997E-2</v>
      </c>
      <c r="C74" s="193" t="s">
        <v>371</v>
      </c>
      <c r="D74" s="195">
        <v>10000</v>
      </c>
      <c r="E74" s="194">
        <v>4.3999999999999997E-2</v>
      </c>
      <c r="F74" s="193" t="s">
        <v>371</v>
      </c>
      <c r="G74" s="195">
        <v>10000</v>
      </c>
      <c r="H74" s="195">
        <v>2300</v>
      </c>
      <c r="I74" s="195">
        <v>4600</v>
      </c>
      <c r="J74" s="195">
        <v>6000</v>
      </c>
      <c r="K74" s="195">
        <v>12000</v>
      </c>
      <c r="L74" s="195">
        <v>1500</v>
      </c>
    </row>
    <row r="75" spans="1:12" ht="39" thickBot="1" x14ac:dyDescent="0.3">
      <c r="A75" s="189" t="s">
        <v>415</v>
      </c>
      <c r="B75" s="190">
        <v>0.02</v>
      </c>
      <c r="C75" s="191" t="s">
        <v>371</v>
      </c>
      <c r="D75" s="192">
        <v>1313</v>
      </c>
      <c r="E75" s="190">
        <v>0.02</v>
      </c>
      <c r="F75" s="191" t="s">
        <v>371</v>
      </c>
      <c r="G75" s="192">
        <v>1313</v>
      </c>
      <c r="H75" s="192">
        <v>15000</v>
      </c>
      <c r="I75" s="192">
        <v>30000</v>
      </c>
      <c r="J75" s="191" t="s">
        <v>416</v>
      </c>
      <c r="K75" s="191" t="s">
        <v>416</v>
      </c>
      <c r="L75" s="191" t="s">
        <v>416</v>
      </c>
    </row>
    <row r="76" spans="1:12" ht="19.5" thickBot="1" x14ac:dyDescent="0.3">
      <c r="A76" s="193" t="s">
        <v>417</v>
      </c>
      <c r="B76" s="194">
        <v>2.5000000000000001E-2</v>
      </c>
      <c r="C76" s="193" t="s">
        <v>371</v>
      </c>
      <c r="D76" s="195">
        <v>2626</v>
      </c>
      <c r="E76" s="194">
        <v>2.5000000000000001E-2</v>
      </c>
      <c r="F76" s="193" t="s">
        <v>371</v>
      </c>
      <c r="G76" s="195">
        <v>2626</v>
      </c>
      <c r="H76" s="193"/>
      <c r="I76" s="193"/>
      <c r="J76" s="193"/>
      <c r="K76" s="193"/>
      <c r="L76" s="193"/>
    </row>
    <row r="77" spans="1:12" ht="19.5" thickBot="1" x14ac:dyDescent="0.3">
      <c r="A77" s="191" t="s">
        <v>417</v>
      </c>
      <c r="B77" s="190">
        <v>0.03</v>
      </c>
      <c r="C77" s="191" t="s">
        <v>371</v>
      </c>
      <c r="D77" s="192">
        <v>3939</v>
      </c>
      <c r="E77" s="190">
        <v>0.03</v>
      </c>
      <c r="F77" s="191" t="s">
        <v>371</v>
      </c>
      <c r="G77" s="192">
        <v>3939</v>
      </c>
      <c r="H77" s="191"/>
      <c r="I77" s="191"/>
      <c r="J77" s="191"/>
      <c r="K77" s="191"/>
      <c r="L77" s="191"/>
    </row>
    <row r="78" spans="1:12" ht="19.5" thickBot="1" x14ac:dyDescent="0.3">
      <c r="A78" s="193" t="s">
        <v>417</v>
      </c>
      <c r="B78" s="194">
        <v>3.5000000000000003E-2</v>
      </c>
      <c r="C78" s="193" t="s">
        <v>371</v>
      </c>
      <c r="D78" s="195">
        <v>5252</v>
      </c>
      <c r="E78" s="194">
        <v>3.5000000000000003E-2</v>
      </c>
      <c r="F78" s="193" t="s">
        <v>371</v>
      </c>
      <c r="G78" s="195">
        <v>5252</v>
      </c>
      <c r="H78" s="193"/>
      <c r="I78" s="193"/>
      <c r="J78" s="193"/>
      <c r="K78" s="193"/>
      <c r="L78" s="193"/>
    </row>
    <row r="79" spans="1:12" ht="19.5" thickBot="1" x14ac:dyDescent="0.3">
      <c r="A79" s="191" t="s">
        <v>417</v>
      </c>
      <c r="B79" s="190">
        <v>0.04</v>
      </c>
      <c r="C79" s="191" t="s">
        <v>371</v>
      </c>
      <c r="D79" s="192">
        <v>6565</v>
      </c>
      <c r="E79" s="190">
        <v>0.04</v>
      </c>
      <c r="F79" s="191" t="s">
        <v>371</v>
      </c>
      <c r="G79" s="192">
        <v>6565</v>
      </c>
      <c r="H79" s="191"/>
      <c r="I79" s="191"/>
      <c r="J79" s="191"/>
      <c r="K79" s="191"/>
      <c r="L79" s="191"/>
    </row>
    <row r="80" spans="1:12" ht="19.5" thickBot="1" x14ac:dyDescent="0.3">
      <c r="A80" s="193" t="s">
        <v>417</v>
      </c>
      <c r="B80" s="194">
        <v>4.4999999999999998E-2</v>
      </c>
      <c r="C80" s="193" t="s">
        <v>371</v>
      </c>
      <c r="D80" s="195">
        <v>7878</v>
      </c>
      <c r="E80" s="194">
        <v>4.4999999999999998E-2</v>
      </c>
      <c r="F80" s="193" t="s">
        <v>371</v>
      </c>
      <c r="G80" s="195">
        <v>7878</v>
      </c>
      <c r="H80" s="193"/>
      <c r="I80" s="193"/>
      <c r="J80" s="193"/>
      <c r="K80" s="193"/>
      <c r="L80" s="193"/>
    </row>
    <row r="81" spans="1:12" ht="19.5" thickBot="1" x14ac:dyDescent="0.3">
      <c r="A81" s="191" t="s">
        <v>417</v>
      </c>
      <c r="B81" s="190">
        <v>4.7E-2</v>
      </c>
      <c r="C81" s="191" t="s">
        <v>371</v>
      </c>
      <c r="D81" s="192">
        <v>9191</v>
      </c>
      <c r="E81" s="190">
        <v>4.7E-2</v>
      </c>
      <c r="F81" s="191" t="s">
        <v>371</v>
      </c>
      <c r="G81" s="192">
        <v>9191</v>
      </c>
      <c r="H81" s="191"/>
      <c r="I81" s="191"/>
      <c r="J81" s="191"/>
      <c r="K81" s="191"/>
      <c r="L81" s="191"/>
    </row>
    <row r="82" spans="1:12" ht="39" thickBot="1" x14ac:dyDescent="0.3">
      <c r="A82" s="196" t="s">
        <v>418</v>
      </c>
      <c r="B82" s="194">
        <v>4.7E-2</v>
      </c>
      <c r="C82" s="193" t="s">
        <v>371</v>
      </c>
      <c r="D82" s="195">
        <v>0</v>
      </c>
      <c r="E82" s="194">
        <v>4.7E-2</v>
      </c>
      <c r="F82" s="193" t="s">
        <v>371</v>
      </c>
      <c r="G82" s="195">
        <v>0</v>
      </c>
      <c r="H82" s="195">
        <v>15000</v>
      </c>
      <c r="I82" s="195">
        <v>30000</v>
      </c>
      <c r="J82" s="193" t="s">
        <v>416</v>
      </c>
      <c r="K82" s="193" t="s">
        <v>416</v>
      </c>
      <c r="L82" s="193" t="s">
        <v>416</v>
      </c>
    </row>
    <row r="83" spans="1:12" ht="19.5" thickBot="1" x14ac:dyDescent="0.3">
      <c r="A83" s="191" t="s">
        <v>419</v>
      </c>
      <c r="B83" s="190">
        <v>5.8999999999999997E-2</v>
      </c>
      <c r="C83" s="191" t="s">
        <v>371</v>
      </c>
      <c r="D83" s="192">
        <v>21100</v>
      </c>
      <c r="E83" s="190">
        <v>5.8999999999999997E-2</v>
      </c>
      <c r="F83" s="191" t="s">
        <v>371</v>
      </c>
      <c r="G83" s="192">
        <v>42200</v>
      </c>
      <c r="H83" s="191"/>
      <c r="I83" s="191"/>
      <c r="J83" s="191"/>
      <c r="K83" s="191"/>
      <c r="L83" s="191"/>
    </row>
    <row r="84" spans="1:12" ht="39" thickBot="1" x14ac:dyDescent="0.3">
      <c r="A84" s="196" t="s">
        <v>420</v>
      </c>
      <c r="B84" s="194">
        <v>2.46E-2</v>
      </c>
      <c r="C84" s="193" t="s">
        <v>371</v>
      </c>
      <c r="D84" s="195">
        <v>0</v>
      </c>
      <c r="E84" s="194">
        <v>2.46E-2</v>
      </c>
      <c r="F84" s="193" t="s">
        <v>371</v>
      </c>
      <c r="G84" s="195">
        <v>0</v>
      </c>
      <c r="H84" s="195">
        <v>8600</v>
      </c>
      <c r="I84" s="195">
        <v>17200</v>
      </c>
      <c r="J84" s="193" t="s">
        <v>421</v>
      </c>
      <c r="K84" s="193" t="s">
        <v>422</v>
      </c>
      <c r="L84" s="193" t="s">
        <v>421</v>
      </c>
    </row>
    <row r="85" spans="1:12" ht="19.5" thickBot="1" x14ac:dyDescent="0.3">
      <c r="A85" s="191" t="s">
        <v>423</v>
      </c>
      <c r="B85" s="190">
        <v>3.5099999999999999E-2</v>
      </c>
      <c r="C85" s="191" t="s">
        <v>371</v>
      </c>
      <c r="D85" s="192">
        <v>4030</v>
      </c>
      <c r="E85" s="190">
        <v>3.5099999999999999E-2</v>
      </c>
      <c r="F85" s="191" t="s">
        <v>371</v>
      </c>
      <c r="G85" s="192">
        <v>8040</v>
      </c>
      <c r="H85" s="191"/>
      <c r="I85" s="191"/>
      <c r="J85" s="191"/>
      <c r="K85" s="191"/>
      <c r="L85" s="191"/>
    </row>
    <row r="86" spans="1:12" ht="19.5" thickBot="1" x14ac:dyDescent="0.3">
      <c r="A86" s="193" t="s">
        <v>423</v>
      </c>
      <c r="B86" s="194">
        <v>5.0099999999999999E-2</v>
      </c>
      <c r="C86" s="193" t="s">
        <v>371</v>
      </c>
      <c r="D86" s="195">
        <v>24120</v>
      </c>
      <c r="E86" s="194">
        <v>5.0099999999999999E-2</v>
      </c>
      <c r="F86" s="193" t="s">
        <v>371</v>
      </c>
      <c r="G86" s="195">
        <v>48250</v>
      </c>
      <c r="H86" s="193"/>
      <c r="I86" s="193"/>
      <c r="J86" s="193"/>
      <c r="K86" s="193"/>
      <c r="L86" s="193"/>
    </row>
    <row r="87" spans="1:12" ht="19.5" thickBot="1" x14ac:dyDescent="0.3">
      <c r="A87" s="191" t="s">
        <v>423</v>
      </c>
      <c r="B87" s="190">
        <v>5.1999999999999998E-2</v>
      </c>
      <c r="C87" s="191" t="s">
        <v>371</v>
      </c>
      <c r="D87" s="192">
        <v>38870</v>
      </c>
      <c r="E87" s="190">
        <v>5.1999999999999998E-2</v>
      </c>
      <c r="F87" s="191" t="s">
        <v>371</v>
      </c>
      <c r="G87" s="192">
        <v>77730</v>
      </c>
      <c r="H87" s="191"/>
      <c r="I87" s="191"/>
      <c r="J87" s="191"/>
      <c r="K87" s="191"/>
      <c r="L87" s="191"/>
    </row>
    <row r="88" spans="1:12" ht="20.25" thickBot="1" x14ac:dyDescent="0.3">
      <c r="A88" s="196" t="s">
        <v>346</v>
      </c>
      <c r="B88" s="193" t="s">
        <v>373</v>
      </c>
      <c r="C88" s="193"/>
      <c r="D88" s="193"/>
      <c r="E88" s="193" t="s">
        <v>373</v>
      </c>
      <c r="F88" s="193"/>
      <c r="G88" s="193"/>
      <c r="H88" s="193" t="s">
        <v>374</v>
      </c>
      <c r="I88" s="193" t="s">
        <v>374</v>
      </c>
      <c r="J88" s="193" t="s">
        <v>374</v>
      </c>
      <c r="K88" s="193" t="s">
        <v>374</v>
      </c>
      <c r="L88" s="193" t="s">
        <v>374</v>
      </c>
    </row>
    <row r="89" spans="1:12" ht="20.25" thickBot="1" x14ac:dyDescent="0.3">
      <c r="A89" s="189" t="s">
        <v>283</v>
      </c>
      <c r="B89" s="191" t="s">
        <v>373</v>
      </c>
      <c r="C89" s="191"/>
      <c r="D89" s="191"/>
      <c r="E89" s="191" t="s">
        <v>373</v>
      </c>
      <c r="F89" s="191"/>
      <c r="G89" s="191"/>
      <c r="H89" s="191" t="s">
        <v>416</v>
      </c>
      <c r="I89" s="191" t="s">
        <v>416</v>
      </c>
      <c r="J89" s="191" t="s">
        <v>374</v>
      </c>
      <c r="K89" s="191" t="s">
        <v>374</v>
      </c>
      <c r="L89" s="191" t="s">
        <v>374</v>
      </c>
    </row>
    <row r="90" spans="1:12" ht="39.75" thickBot="1" x14ac:dyDescent="0.3">
      <c r="A90" s="196" t="s">
        <v>424</v>
      </c>
      <c r="B90" s="194">
        <v>1.4E-2</v>
      </c>
      <c r="C90" s="193" t="s">
        <v>371</v>
      </c>
      <c r="D90" s="195">
        <v>0</v>
      </c>
      <c r="E90" s="194">
        <v>1.4E-2</v>
      </c>
      <c r="F90" s="193" t="s">
        <v>371</v>
      </c>
      <c r="G90" s="195">
        <v>0</v>
      </c>
      <c r="H90" s="193" t="s">
        <v>374</v>
      </c>
      <c r="I90" s="193" t="s">
        <v>374</v>
      </c>
      <c r="J90" s="195">
        <v>1000</v>
      </c>
      <c r="K90" s="195">
        <v>2000</v>
      </c>
      <c r="L90" s="195">
        <v>1500</v>
      </c>
    </row>
    <row r="91" spans="1:12" ht="19.5" thickBot="1" x14ac:dyDescent="0.3">
      <c r="A91" s="191" t="s">
        <v>425</v>
      </c>
      <c r="B91" s="190">
        <v>1.7500000000000002E-2</v>
      </c>
      <c r="C91" s="191" t="s">
        <v>371</v>
      </c>
      <c r="D91" s="192">
        <v>20000</v>
      </c>
      <c r="E91" s="190">
        <v>1.7500000000000002E-2</v>
      </c>
      <c r="F91" s="191" t="s">
        <v>371</v>
      </c>
      <c r="G91" s="192">
        <v>20000</v>
      </c>
      <c r="H91" s="191"/>
      <c r="I91" s="191"/>
      <c r="J91" s="191"/>
      <c r="K91" s="191"/>
      <c r="L91" s="191"/>
    </row>
    <row r="92" spans="1:12" ht="19.5" thickBot="1" x14ac:dyDescent="0.3">
      <c r="A92" s="193" t="s">
        <v>425</v>
      </c>
      <c r="B92" s="194">
        <v>3.5000000000000003E-2</v>
      </c>
      <c r="C92" s="193" t="s">
        <v>371</v>
      </c>
      <c r="D92" s="195">
        <v>35000</v>
      </c>
      <c r="E92" s="194">
        <v>2.4500000000000001E-2</v>
      </c>
      <c r="F92" s="193" t="s">
        <v>371</v>
      </c>
      <c r="G92" s="195">
        <v>50000</v>
      </c>
      <c r="H92" s="193"/>
      <c r="I92" s="193"/>
      <c r="J92" s="193"/>
      <c r="K92" s="193"/>
      <c r="L92" s="193"/>
    </row>
    <row r="93" spans="1:12" ht="19.5" thickBot="1" x14ac:dyDescent="0.3">
      <c r="A93" s="191" t="s">
        <v>425</v>
      </c>
      <c r="B93" s="190">
        <v>5.525E-2</v>
      </c>
      <c r="C93" s="191" t="s">
        <v>371</v>
      </c>
      <c r="D93" s="192">
        <v>40000</v>
      </c>
      <c r="E93" s="190">
        <v>3.5000000000000003E-2</v>
      </c>
      <c r="F93" s="191" t="s">
        <v>371</v>
      </c>
      <c r="G93" s="192">
        <v>70000</v>
      </c>
      <c r="H93" s="191"/>
      <c r="I93" s="191"/>
      <c r="J93" s="191"/>
      <c r="K93" s="191"/>
      <c r="L93" s="191"/>
    </row>
    <row r="94" spans="1:12" ht="19.5" thickBot="1" x14ac:dyDescent="0.3">
      <c r="A94" s="197" t="s">
        <v>425</v>
      </c>
      <c r="B94" s="198">
        <v>6.3700000000000007E-2</v>
      </c>
      <c r="C94" s="197" t="s">
        <v>371</v>
      </c>
      <c r="D94" s="199">
        <v>75000</v>
      </c>
      <c r="E94" s="198">
        <v>5.525E-2</v>
      </c>
      <c r="F94" s="197" t="s">
        <v>371</v>
      </c>
      <c r="G94" s="199">
        <v>80000</v>
      </c>
      <c r="H94" s="197"/>
      <c r="I94" s="197"/>
      <c r="J94" s="197"/>
      <c r="K94" s="197"/>
      <c r="L94" s="197"/>
    </row>
    <row r="95" spans="1:12" ht="19.5" thickBot="1" x14ac:dyDescent="0.3">
      <c r="A95" s="191" t="s">
        <v>425</v>
      </c>
      <c r="B95" s="190">
        <v>8.9700000000000002E-2</v>
      </c>
      <c r="C95" s="191" t="s">
        <v>371</v>
      </c>
      <c r="D95" s="192">
        <v>500000</v>
      </c>
      <c r="E95" s="190">
        <v>6.3700000000000007E-2</v>
      </c>
      <c r="F95" s="191" t="s">
        <v>371</v>
      </c>
      <c r="G95" s="192">
        <v>150000</v>
      </c>
      <c r="H95" s="191"/>
      <c r="I95" s="191"/>
      <c r="J95" s="191"/>
      <c r="K95" s="191"/>
      <c r="L95" s="191"/>
    </row>
    <row r="96" spans="1:12" ht="19.5" thickBot="1" x14ac:dyDescent="0.3">
      <c r="A96" s="193" t="s">
        <v>425</v>
      </c>
      <c r="B96" s="194">
        <v>0.1075</v>
      </c>
      <c r="C96" s="193" t="s">
        <v>371</v>
      </c>
      <c r="D96" s="195">
        <v>1000000</v>
      </c>
      <c r="E96" s="194">
        <v>8.9700000000000002E-2</v>
      </c>
      <c r="F96" s="193" t="s">
        <v>371</v>
      </c>
      <c r="G96" s="195">
        <v>500000</v>
      </c>
      <c r="H96" s="193"/>
      <c r="I96" s="193"/>
      <c r="J96" s="193"/>
      <c r="K96" s="193"/>
      <c r="L96" s="193"/>
    </row>
    <row r="97" spans="1:12" ht="19.5" thickBot="1" x14ac:dyDescent="0.3">
      <c r="A97" s="191" t="s">
        <v>425</v>
      </c>
      <c r="B97" s="191"/>
      <c r="C97" s="191"/>
      <c r="D97" s="191"/>
      <c r="E97" s="190">
        <v>0.1075</v>
      </c>
      <c r="F97" s="191" t="s">
        <v>371</v>
      </c>
      <c r="G97" s="192">
        <v>1000000</v>
      </c>
      <c r="H97" s="191"/>
      <c r="I97" s="191"/>
      <c r="J97" s="191"/>
      <c r="K97" s="191"/>
      <c r="L97" s="191"/>
    </row>
    <row r="98" spans="1:12" ht="58.5" thickBot="1" x14ac:dyDescent="0.3">
      <c r="A98" s="196" t="s">
        <v>426</v>
      </c>
      <c r="B98" s="194">
        <v>1.4999999999999999E-2</v>
      </c>
      <c r="C98" s="193" t="s">
        <v>371</v>
      </c>
      <c r="D98" s="195">
        <v>0</v>
      </c>
      <c r="E98" s="194">
        <v>1.4999999999999999E-2</v>
      </c>
      <c r="F98" s="193" t="s">
        <v>371</v>
      </c>
      <c r="G98" s="195">
        <v>0</v>
      </c>
      <c r="H98" s="195">
        <v>15000</v>
      </c>
      <c r="I98" s="195">
        <v>30000</v>
      </c>
      <c r="J98" s="193" t="s">
        <v>374</v>
      </c>
      <c r="K98" s="193" t="s">
        <v>374</v>
      </c>
      <c r="L98" s="195">
        <v>4000</v>
      </c>
    </row>
    <row r="99" spans="1:12" ht="19.5" thickBot="1" x14ac:dyDescent="0.3">
      <c r="A99" s="191" t="s">
        <v>427</v>
      </c>
      <c r="B99" s="190">
        <v>3.2000000000000001E-2</v>
      </c>
      <c r="C99" s="191" t="s">
        <v>371</v>
      </c>
      <c r="D99" s="192">
        <v>5500</v>
      </c>
      <c r="E99" s="190">
        <v>3.2000000000000001E-2</v>
      </c>
      <c r="F99" s="191" t="s">
        <v>371</v>
      </c>
      <c r="G99" s="192">
        <v>8000</v>
      </c>
      <c r="H99" s="191"/>
      <c r="I99" s="191"/>
      <c r="J99" s="191"/>
      <c r="K99" s="191"/>
      <c r="L99" s="191"/>
    </row>
    <row r="100" spans="1:12" ht="19.5" thickBot="1" x14ac:dyDescent="0.3">
      <c r="A100" s="193" t="s">
        <v>427</v>
      </c>
      <c r="B100" s="194">
        <v>4.2999999999999997E-2</v>
      </c>
      <c r="C100" s="193" t="s">
        <v>371</v>
      </c>
      <c r="D100" s="195">
        <v>16500</v>
      </c>
      <c r="E100" s="194">
        <v>4.2999999999999997E-2</v>
      </c>
      <c r="F100" s="193" t="s">
        <v>371</v>
      </c>
      <c r="G100" s="195">
        <v>25000</v>
      </c>
      <c r="H100" s="193"/>
      <c r="I100" s="193"/>
      <c r="J100" s="193"/>
      <c r="K100" s="193"/>
      <c r="L100" s="193"/>
    </row>
    <row r="101" spans="1:12" ht="19.5" thickBot="1" x14ac:dyDescent="0.3">
      <c r="A101" s="191" t="s">
        <v>427</v>
      </c>
      <c r="B101" s="190">
        <v>4.7E-2</v>
      </c>
      <c r="C101" s="191" t="s">
        <v>371</v>
      </c>
      <c r="D101" s="192">
        <v>33500</v>
      </c>
      <c r="E101" s="190">
        <v>4.7E-2</v>
      </c>
      <c r="F101" s="191" t="s">
        <v>371</v>
      </c>
      <c r="G101" s="192">
        <v>50000</v>
      </c>
      <c r="H101" s="191"/>
      <c r="I101" s="191"/>
      <c r="J101" s="191"/>
      <c r="K101" s="191"/>
      <c r="L101" s="191"/>
    </row>
    <row r="102" spans="1:12" ht="19.5" thickBot="1" x14ac:dyDescent="0.3">
      <c r="A102" s="193" t="s">
        <v>427</v>
      </c>
      <c r="B102" s="194">
        <v>4.9000000000000002E-2</v>
      </c>
      <c r="C102" s="193" t="s">
        <v>371</v>
      </c>
      <c r="D102" s="195">
        <v>66500</v>
      </c>
      <c r="E102" s="194">
        <v>4.9000000000000002E-2</v>
      </c>
      <c r="F102" s="193" t="s">
        <v>371</v>
      </c>
      <c r="G102" s="195">
        <v>100000</v>
      </c>
      <c r="H102" s="193"/>
      <c r="I102" s="193"/>
      <c r="J102" s="193"/>
      <c r="K102" s="193"/>
      <c r="L102" s="193"/>
    </row>
    <row r="103" spans="1:12" ht="19.5" thickBot="1" x14ac:dyDescent="0.3">
      <c r="A103" s="191" t="s">
        <v>291</v>
      </c>
      <c r="B103" s="190">
        <v>5.8999999999999997E-2</v>
      </c>
      <c r="C103" s="191" t="s">
        <v>371</v>
      </c>
      <c r="D103" s="192">
        <v>210000</v>
      </c>
      <c r="E103" s="190">
        <v>5.8999999999999997E-2</v>
      </c>
      <c r="F103" s="191" t="s">
        <v>371</v>
      </c>
      <c r="G103" s="192">
        <v>315000</v>
      </c>
      <c r="H103" s="191"/>
      <c r="I103" s="191"/>
      <c r="J103" s="191"/>
      <c r="K103" s="191"/>
      <c r="L103" s="191"/>
    </row>
    <row r="104" spans="1:12" ht="39" thickBot="1" x14ac:dyDescent="0.3">
      <c r="A104" s="196" t="s">
        <v>428</v>
      </c>
      <c r="B104" s="194">
        <v>0.04</v>
      </c>
      <c r="C104" s="193" t="s">
        <v>371</v>
      </c>
      <c r="D104" s="195">
        <v>0</v>
      </c>
      <c r="E104" s="194">
        <v>0.04</v>
      </c>
      <c r="F104" s="193" t="s">
        <v>371</v>
      </c>
      <c r="G104" s="195">
        <v>0</v>
      </c>
      <c r="H104" s="195">
        <v>8000</v>
      </c>
      <c r="I104" s="195">
        <v>16050</v>
      </c>
      <c r="J104" s="193" t="s">
        <v>374</v>
      </c>
      <c r="K104" s="193" t="s">
        <v>374</v>
      </c>
      <c r="L104" s="195">
        <v>1000</v>
      </c>
    </row>
    <row r="105" spans="1:12" ht="19.5" thickBot="1" x14ac:dyDescent="0.3">
      <c r="A105" s="191" t="s">
        <v>429</v>
      </c>
      <c r="B105" s="190">
        <v>4.4999999999999998E-2</v>
      </c>
      <c r="C105" s="191" t="s">
        <v>371</v>
      </c>
      <c r="D105" s="192">
        <v>8500</v>
      </c>
      <c r="E105" s="190">
        <v>4.4999999999999998E-2</v>
      </c>
      <c r="F105" s="191" t="s">
        <v>371</v>
      </c>
      <c r="G105" s="192">
        <v>17150</v>
      </c>
      <c r="H105" s="191"/>
      <c r="I105" s="191"/>
      <c r="J105" s="191"/>
      <c r="K105" s="191"/>
      <c r="L105" s="191"/>
    </row>
    <row r="106" spans="1:12" ht="19.5" thickBot="1" x14ac:dyDescent="0.3">
      <c r="A106" s="193" t="s">
        <v>429</v>
      </c>
      <c r="B106" s="194">
        <v>5.2499999999999998E-2</v>
      </c>
      <c r="C106" s="193" t="s">
        <v>371</v>
      </c>
      <c r="D106" s="195">
        <v>11700</v>
      </c>
      <c r="E106" s="194">
        <v>5.2499999999999998E-2</v>
      </c>
      <c r="F106" s="193" t="s">
        <v>371</v>
      </c>
      <c r="G106" s="195">
        <v>23600</v>
      </c>
      <c r="H106" s="193"/>
      <c r="I106" s="193"/>
      <c r="J106" s="193"/>
      <c r="K106" s="193"/>
      <c r="L106" s="193"/>
    </row>
    <row r="107" spans="1:12" ht="19.5" thickBot="1" x14ac:dyDescent="0.3">
      <c r="A107" s="191" t="s">
        <v>429</v>
      </c>
      <c r="B107" s="190">
        <v>5.5E-2</v>
      </c>
      <c r="C107" s="191" t="s">
        <v>371</v>
      </c>
      <c r="D107" s="192">
        <v>13900</v>
      </c>
      <c r="E107" s="190">
        <v>5.5E-2</v>
      </c>
      <c r="F107" s="191" t="s">
        <v>371</v>
      </c>
      <c r="G107" s="192">
        <v>27900</v>
      </c>
      <c r="H107" s="191"/>
      <c r="I107" s="191"/>
      <c r="J107" s="191"/>
      <c r="K107" s="191"/>
      <c r="L107" s="191"/>
    </row>
    <row r="108" spans="1:12" ht="19.5" thickBot="1" x14ac:dyDescent="0.3">
      <c r="A108" s="193" t="s">
        <v>429</v>
      </c>
      <c r="B108" s="194">
        <v>0.06</v>
      </c>
      <c r="C108" s="193" t="s">
        <v>371</v>
      </c>
      <c r="D108" s="195">
        <v>80650</v>
      </c>
      <c r="E108" s="194">
        <v>0.06</v>
      </c>
      <c r="F108" s="193" t="s">
        <v>371</v>
      </c>
      <c r="G108" s="195">
        <v>161550</v>
      </c>
      <c r="H108" s="193"/>
      <c r="I108" s="193"/>
      <c r="J108" s="193"/>
      <c r="K108" s="193"/>
      <c r="L108" s="193"/>
    </row>
    <row r="109" spans="1:12" ht="19.5" thickBot="1" x14ac:dyDescent="0.3">
      <c r="A109" s="191" t="s">
        <v>429</v>
      </c>
      <c r="B109" s="190">
        <v>6.8500000000000005E-2</v>
      </c>
      <c r="C109" s="191" t="s">
        <v>371</v>
      </c>
      <c r="D109" s="192">
        <v>215400</v>
      </c>
      <c r="E109" s="190">
        <v>6.8500000000000005E-2</v>
      </c>
      <c r="F109" s="191" t="s">
        <v>371</v>
      </c>
      <c r="G109" s="192">
        <v>323200</v>
      </c>
      <c r="H109" s="191"/>
      <c r="I109" s="191"/>
      <c r="J109" s="191"/>
      <c r="K109" s="191"/>
      <c r="L109" s="191"/>
    </row>
    <row r="110" spans="1:12" ht="19.5" thickBot="1" x14ac:dyDescent="0.3">
      <c r="A110" s="193" t="s">
        <v>429</v>
      </c>
      <c r="B110" s="194">
        <v>9.6500000000000002E-2</v>
      </c>
      <c r="C110" s="193" t="s">
        <v>371</v>
      </c>
      <c r="D110" s="195">
        <v>1077550</v>
      </c>
      <c r="E110" s="194">
        <v>9.6500000000000002E-2</v>
      </c>
      <c r="F110" s="193" t="s">
        <v>371</v>
      </c>
      <c r="G110" s="195">
        <v>2155350</v>
      </c>
      <c r="H110" s="193"/>
      <c r="I110" s="193"/>
      <c r="J110" s="193"/>
      <c r="K110" s="193"/>
      <c r="L110" s="193"/>
    </row>
    <row r="111" spans="1:12" ht="19.5" thickBot="1" x14ac:dyDescent="0.3">
      <c r="A111" s="191" t="s">
        <v>429</v>
      </c>
      <c r="B111" s="190">
        <v>0.10299999999999999</v>
      </c>
      <c r="C111" s="191" t="s">
        <v>371</v>
      </c>
      <c r="D111" s="192">
        <v>5000000</v>
      </c>
      <c r="E111" s="190">
        <v>0.10299999999999999</v>
      </c>
      <c r="F111" s="191" t="s">
        <v>371</v>
      </c>
      <c r="G111" s="192">
        <v>5000000</v>
      </c>
      <c r="H111" s="191"/>
      <c r="I111" s="191"/>
      <c r="J111" s="191"/>
      <c r="K111" s="191"/>
      <c r="L111" s="191"/>
    </row>
    <row r="112" spans="1:12" ht="19.5" thickBot="1" x14ac:dyDescent="0.3">
      <c r="A112" s="193" t="s">
        <v>429</v>
      </c>
      <c r="B112" s="194">
        <v>0.109</v>
      </c>
      <c r="C112" s="193" t="s">
        <v>371</v>
      </c>
      <c r="D112" s="195">
        <v>25000000</v>
      </c>
      <c r="E112" s="194">
        <v>0.109</v>
      </c>
      <c r="F112" s="193" t="s">
        <v>371</v>
      </c>
      <c r="G112" s="195">
        <v>25000000</v>
      </c>
      <c r="H112" s="193"/>
      <c r="I112" s="193"/>
      <c r="J112" s="193"/>
      <c r="K112" s="193"/>
      <c r="L112" s="193"/>
    </row>
    <row r="113" spans="1:12" ht="39.75" thickBot="1" x14ac:dyDescent="0.3">
      <c r="A113" s="189" t="s">
        <v>298</v>
      </c>
      <c r="B113" s="190">
        <v>4.2500000000000003E-2</v>
      </c>
      <c r="C113" s="191" t="s">
        <v>371</v>
      </c>
      <c r="D113" s="192">
        <v>0</v>
      </c>
      <c r="E113" s="190">
        <v>4.2500000000000003E-2</v>
      </c>
      <c r="F113" s="191" t="s">
        <v>371</v>
      </c>
      <c r="G113" s="192">
        <v>0</v>
      </c>
      <c r="H113" s="192">
        <v>12750</v>
      </c>
      <c r="I113" s="192">
        <v>25500</v>
      </c>
      <c r="J113" s="191" t="s">
        <v>374</v>
      </c>
      <c r="K113" s="191" t="s">
        <v>374</v>
      </c>
      <c r="L113" s="191" t="s">
        <v>374</v>
      </c>
    </row>
    <row r="114" spans="1:12" ht="58.5" thickBot="1" x14ac:dyDescent="0.3">
      <c r="A114" s="196" t="s">
        <v>430</v>
      </c>
      <c r="B114" s="194">
        <v>1.95E-2</v>
      </c>
      <c r="C114" s="193" t="s">
        <v>371</v>
      </c>
      <c r="D114" s="195">
        <v>48475</v>
      </c>
      <c r="E114" s="194">
        <v>1.95E-2</v>
      </c>
      <c r="F114" s="193" t="s">
        <v>371</v>
      </c>
      <c r="G114" s="195">
        <v>80975</v>
      </c>
      <c r="H114" s="195">
        <v>15000</v>
      </c>
      <c r="I114" s="195">
        <v>30000</v>
      </c>
      <c r="J114" s="193" t="s">
        <v>374</v>
      </c>
      <c r="K114" s="193" t="s">
        <v>374</v>
      </c>
      <c r="L114" s="193" t="s">
        <v>374</v>
      </c>
    </row>
    <row r="115" spans="1:12" ht="38.25" thickBot="1" x14ac:dyDescent="0.3">
      <c r="A115" s="191" t="s">
        <v>431</v>
      </c>
      <c r="B115" s="190">
        <v>2.5000000000000001E-2</v>
      </c>
      <c r="C115" s="191" t="s">
        <v>371</v>
      </c>
      <c r="D115" s="192">
        <v>244825</v>
      </c>
      <c r="E115" s="190">
        <v>2.5000000000000001E-2</v>
      </c>
      <c r="F115" s="191" t="s">
        <v>371</v>
      </c>
      <c r="G115" s="192">
        <v>298075</v>
      </c>
      <c r="H115" s="191"/>
      <c r="I115" s="191"/>
      <c r="J115" s="191"/>
      <c r="K115" s="191"/>
      <c r="L115" s="191"/>
    </row>
    <row r="116" spans="1:12" ht="39" thickBot="1" x14ac:dyDescent="0.3">
      <c r="A116" s="196" t="s">
        <v>432</v>
      </c>
      <c r="B116" s="194">
        <v>2.75E-2</v>
      </c>
      <c r="C116" s="193" t="s">
        <v>371</v>
      </c>
      <c r="D116" s="195">
        <v>26050</v>
      </c>
      <c r="E116" s="194">
        <v>2.75E-2</v>
      </c>
      <c r="F116" s="193" t="s">
        <v>371</v>
      </c>
      <c r="G116" s="195">
        <v>26050</v>
      </c>
      <c r="H116" s="193" t="s">
        <v>374</v>
      </c>
      <c r="I116" s="193" t="s">
        <v>374</v>
      </c>
      <c r="J116" s="195">
        <v>2400</v>
      </c>
      <c r="K116" s="195">
        <v>4800</v>
      </c>
      <c r="L116" s="195">
        <v>2400</v>
      </c>
    </row>
    <row r="117" spans="1:12" ht="19.5" thickBot="1" x14ac:dyDescent="0.3">
      <c r="A117" s="191" t="s">
        <v>433</v>
      </c>
      <c r="B117" s="190">
        <v>3.5000000000000003E-2</v>
      </c>
      <c r="C117" s="191" t="s">
        <v>371</v>
      </c>
      <c r="D117" s="192">
        <v>100000</v>
      </c>
      <c r="E117" s="190">
        <v>3.5000000000000003E-2</v>
      </c>
      <c r="F117" s="191" t="s">
        <v>371</v>
      </c>
      <c r="G117" s="192">
        <v>100000</v>
      </c>
      <c r="H117" s="191"/>
      <c r="I117" s="191"/>
      <c r="J117" s="191"/>
      <c r="K117" s="191"/>
      <c r="L117" s="191"/>
    </row>
    <row r="118" spans="1:12" ht="20.25" thickBot="1" x14ac:dyDescent="0.3">
      <c r="A118" s="196" t="s">
        <v>434</v>
      </c>
      <c r="B118" s="194">
        <v>2.5000000000000001E-3</v>
      </c>
      <c r="C118" s="193" t="s">
        <v>371</v>
      </c>
      <c r="D118" s="195">
        <v>0</v>
      </c>
      <c r="E118" s="194">
        <v>2.5000000000000001E-3</v>
      </c>
      <c r="F118" s="193" t="s">
        <v>371</v>
      </c>
      <c r="G118" s="195">
        <v>0</v>
      </c>
      <c r="H118" s="195">
        <v>6350</v>
      </c>
      <c r="I118" s="195">
        <v>12700</v>
      </c>
      <c r="J118" s="195">
        <v>1000</v>
      </c>
      <c r="K118" s="195">
        <v>2000</v>
      </c>
      <c r="L118" s="195">
        <v>1000</v>
      </c>
    </row>
    <row r="119" spans="1:12" ht="19.5" thickBot="1" x14ac:dyDescent="0.3">
      <c r="A119" s="191" t="s">
        <v>435</v>
      </c>
      <c r="B119" s="190">
        <v>7.4999999999999997E-3</v>
      </c>
      <c r="C119" s="191" t="s">
        <v>371</v>
      </c>
      <c r="D119" s="192">
        <v>1000</v>
      </c>
      <c r="E119" s="190">
        <v>7.4999999999999997E-3</v>
      </c>
      <c r="F119" s="191" t="s">
        <v>371</v>
      </c>
      <c r="G119" s="192">
        <v>2000</v>
      </c>
      <c r="H119" s="191"/>
      <c r="I119" s="191"/>
      <c r="J119" s="191"/>
      <c r="K119" s="191"/>
      <c r="L119" s="191"/>
    </row>
    <row r="120" spans="1:12" ht="19.5" thickBot="1" x14ac:dyDescent="0.3">
      <c r="A120" s="193" t="s">
        <v>435</v>
      </c>
      <c r="B120" s="194">
        <v>1.7500000000000002E-2</v>
      </c>
      <c r="C120" s="193" t="s">
        <v>371</v>
      </c>
      <c r="D120" s="195">
        <v>2500</v>
      </c>
      <c r="E120" s="194">
        <v>1.7500000000000002E-2</v>
      </c>
      <c r="F120" s="193" t="s">
        <v>371</v>
      </c>
      <c r="G120" s="195">
        <v>5000</v>
      </c>
      <c r="H120" s="193"/>
      <c r="I120" s="193"/>
      <c r="J120" s="193"/>
      <c r="K120" s="193"/>
      <c r="L120" s="193"/>
    </row>
    <row r="121" spans="1:12" ht="19.5" thickBot="1" x14ac:dyDescent="0.3">
      <c r="A121" s="191" t="s">
        <v>435</v>
      </c>
      <c r="B121" s="190">
        <v>2.75E-2</v>
      </c>
      <c r="C121" s="191" t="s">
        <v>371</v>
      </c>
      <c r="D121" s="192">
        <v>3750</v>
      </c>
      <c r="E121" s="190">
        <v>2.75E-2</v>
      </c>
      <c r="F121" s="191" t="s">
        <v>371</v>
      </c>
      <c r="G121" s="192">
        <v>7500</v>
      </c>
      <c r="H121" s="191"/>
      <c r="I121" s="191"/>
      <c r="J121" s="191"/>
      <c r="K121" s="191"/>
      <c r="L121" s="191"/>
    </row>
    <row r="122" spans="1:12" ht="19.5" thickBot="1" x14ac:dyDescent="0.3">
      <c r="A122" s="193" t="s">
        <v>435</v>
      </c>
      <c r="B122" s="194">
        <v>3.7499999999999999E-2</v>
      </c>
      <c r="C122" s="193" t="s">
        <v>371</v>
      </c>
      <c r="D122" s="195">
        <v>4900</v>
      </c>
      <c r="E122" s="194">
        <v>3.7499999999999999E-2</v>
      </c>
      <c r="F122" s="193" t="s">
        <v>371</v>
      </c>
      <c r="G122" s="195">
        <v>9800</v>
      </c>
      <c r="H122" s="193"/>
      <c r="I122" s="193"/>
      <c r="J122" s="193"/>
      <c r="K122" s="193"/>
      <c r="L122" s="193"/>
    </row>
    <row r="123" spans="1:12" ht="19.5" thickBot="1" x14ac:dyDescent="0.3">
      <c r="A123" s="191" t="s">
        <v>435</v>
      </c>
      <c r="B123" s="190">
        <v>4.7500000000000001E-2</v>
      </c>
      <c r="C123" s="191" t="s">
        <v>371</v>
      </c>
      <c r="D123" s="192">
        <v>7200</v>
      </c>
      <c r="E123" s="190">
        <v>4.7500000000000001E-2</v>
      </c>
      <c r="F123" s="191" t="s">
        <v>371</v>
      </c>
      <c r="G123" s="192">
        <v>14400</v>
      </c>
      <c r="H123" s="191"/>
      <c r="I123" s="191"/>
      <c r="J123" s="191"/>
      <c r="K123" s="191"/>
      <c r="L123" s="191"/>
    </row>
    <row r="124" spans="1:12" ht="57.75" thickBot="1" x14ac:dyDescent="0.3">
      <c r="A124" s="196" t="s">
        <v>436</v>
      </c>
      <c r="B124" s="194">
        <v>4.7500000000000001E-2</v>
      </c>
      <c r="C124" s="193" t="s">
        <v>371</v>
      </c>
      <c r="D124" s="195">
        <v>0</v>
      </c>
      <c r="E124" s="194">
        <v>4.7500000000000001E-2</v>
      </c>
      <c r="F124" s="193" t="s">
        <v>371</v>
      </c>
      <c r="G124" s="195">
        <v>0</v>
      </c>
      <c r="H124" s="195">
        <v>2800</v>
      </c>
      <c r="I124" s="195">
        <v>5600</v>
      </c>
      <c r="J124" s="193" t="s">
        <v>437</v>
      </c>
      <c r="K124" s="193" t="s">
        <v>438</v>
      </c>
      <c r="L124" s="193" t="s">
        <v>437</v>
      </c>
    </row>
    <row r="125" spans="1:12" ht="19.5" thickBot="1" x14ac:dyDescent="0.3">
      <c r="A125" s="191" t="s">
        <v>439</v>
      </c>
      <c r="B125" s="190">
        <v>6.7500000000000004E-2</v>
      </c>
      <c r="C125" s="191" t="s">
        <v>371</v>
      </c>
      <c r="D125" s="192">
        <v>4400</v>
      </c>
      <c r="E125" s="190">
        <v>6.7500000000000004E-2</v>
      </c>
      <c r="F125" s="191" t="s">
        <v>371</v>
      </c>
      <c r="G125" s="192">
        <v>8800</v>
      </c>
      <c r="H125" s="191"/>
      <c r="I125" s="191"/>
      <c r="J125" s="191"/>
      <c r="K125" s="191"/>
      <c r="L125" s="191"/>
    </row>
    <row r="126" spans="1:12" ht="19.5" thickBot="1" x14ac:dyDescent="0.3">
      <c r="A126" s="193" t="s">
        <v>439</v>
      </c>
      <c r="B126" s="194">
        <v>8.7499999999999994E-2</v>
      </c>
      <c r="C126" s="193" t="s">
        <v>371</v>
      </c>
      <c r="D126" s="195">
        <v>11050</v>
      </c>
      <c r="E126" s="194">
        <v>8.7499999999999994E-2</v>
      </c>
      <c r="F126" s="193" t="s">
        <v>371</v>
      </c>
      <c r="G126" s="195">
        <v>22100</v>
      </c>
      <c r="H126" s="193"/>
      <c r="I126" s="193"/>
      <c r="J126" s="193"/>
      <c r="K126" s="193"/>
      <c r="L126" s="193"/>
    </row>
    <row r="127" spans="1:12" ht="19.5" thickBot="1" x14ac:dyDescent="0.3">
      <c r="A127" s="191" t="s">
        <v>439</v>
      </c>
      <c r="B127" s="190">
        <v>9.9000000000000005E-2</v>
      </c>
      <c r="C127" s="191" t="s">
        <v>371</v>
      </c>
      <c r="D127" s="192">
        <v>125000</v>
      </c>
      <c r="E127" s="190">
        <v>9.9000000000000005E-2</v>
      </c>
      <c r="F127" s="191" t="s">
        <v>371</v>
      </c>
      <c r="G127" s="192">
        <v>250000</v>
      </c>
      <c r="H127" s="191"/>
      <c r="I127" s="191"/>
      <c r="J127" s="191"/>
      <c r="K127" s="191"/>
      <c r="L127" s="191"/>
    </row>
    <row r="128" spans="1:12" ht="39" thickBot="1" x14ac:dyDescent="0.3">
      <c r="A128" s="196" t="s">
        <v>440</v>
      </c>
      <c r="B128" s="194">
        <v>3.0700000000000002E-2</v>
      </c>
      <c r="C128" s="193" t="s">
        <v>371</v>
      </c>
      <c r="D128" s="195">
        <v>0</v>
      </c>
      <c r="E128" s="194">
        <v>3.0700000000000002E-2</v>
      </c>
      <c r="F128" s="193" t="s">
        <v>371</v>
      </c>
      <c r="G128" s="195">
        <v>0</v>
      </c>
      <c r="H128" s="193" t="s">
        <v>374</v>
      </c>
      <c r="I128" s="193" t="s">
        <v>374</v>
      </c>
      <c r="J128" s="193" t="s">
        <v>374</v>
      </c>
      <c r="K128" s="193" t="s">
        <v>374</v>
      </c>
      <c r="L128" s="193" t="s">
        <v>374</v>
      </c>
    </row>
    <row r="129" spans="1:12" ht="58.5" thickBot="1" x14ac:dyDescent="0.3">
      <c r="A129" s="189" t="s">
        <v>441</v>
      </c>
      <c r="B129" s="190">
        <v>3.7499999999999999E-2</v>
      </c>
      <c r="C129" s="191" t="s">
        <v>371</v>
      </c>
      <c r="D129" s="192">
        <v>0</v>
      </c>
      <c r="E129" s="190">
        <v>3.7499999999999999E-2</v>
      </c>
      <c r="F129" s="191" t="s">
        <v>371</v>
      </c>
      <c r="G129" s="192">
        <v>0</v>
      </c>
      <c r="H129" s="192">
        <v>10900</v>
      </c>
      <c r="I129" s="192">
        <v>21800</v>
      </c>
      <c r="J129" s="192">
        <v>5100</v>
      </c>
      <c r="K129" s="192">
        <v>10200</v>
      </c>
      <c r="L129" s="192">
        <v>5100</v>
      </c>
    </row>
    <row r="130" spans="1:12" ht="38.25" thickBot="1" x14ac:dyDescent="0.3">
      <c r="A130" s="193" t="s">
        <v>442</v>
      </c>
      <c r="B130" s="194">
        <v>4.7500000000000001E-2</v>
      </c>
      <c r="C130" s="193" t="s">
        <v>371</v>
      </c>
      <c r="D130" s="195">
        <v>79900</v>
      </c>
      <c r="E130" s="194">
        <v>4.7500000000000001E-2</v>
      </c>
      <c r="F130" s="193" t="s">
        <v>371</v>
      </c>
      <c r="G130" s="195">
        <v>79900</v>
      </c>
      <c r="H130" s="193"/>
      <c r="I130" s="193"/>
      <c r="J130" s="193"/>
      <c r="K130" s="193"/>
      <c r="L130" s="193"/>
    </row>
    <row r="131" spans="1:12" ht="38.25" thickBot="1" x14ac:dyDescent="0.3">
      <c r="A131" s="191" t="s">
        <v>442</v>
      </c>
      <c r="B131" s="190">
        <v>5.9900000000000002E-2</v>
      </c>
      <c r="C131" s="191" t="s">
        <v>371</v>
      </c>
      <c r="D131" s="192">
        <v>181650</v>
      </c>
      <c r="E131" s="190">
        <v>5.9900000000000002E-2</v>
      </c>
      <c r="F131" s="191" t="s">
        <v>371</v>
      </c>
      <c r="G131" s="192">
        <v>181650</v>
      </c>
      <c r="H131" s="191"/>
      <c r="I131" s="191"/>
      <c r="J131" s="191"/>
      <c r="K131" s="191"/>
      <c r="L131" s="191"/>
    </row>
    <row r="132" spans="1:12" ht="77.25" thickBot="1" x14ac:dyDescent="0.3">
      <c r="A132" s="196" t="s">
        <v>443</v>
      </c>
      <c r="B132" s="194">
        <v>0</v>
      </c>
      <c r="C132" s="193" t="s">
        <v>371</v>
      </c>
      <c r="D132" s="195">
        <v>0</v>
      </c>
      <c r="E132" s="194">
        <v>0</v>
      </c>
      <c r="F132" s="193" t="s">
        <v>371</v>
      </c>
      <c r="G132" s="195">
        <v>0</v>
      </c>
      <c r="H132" s="195">
        <v>15000</v>
      </c>
      <c r="I132" s="195">
        <v>30000</v>
      </c>
      <c r="J132" s="193" t="s">
        <v>374</v>
      </c>
      <c r="K132" s="193" t="s">
        <v>374</v>
      </c>
      <c r="L132" s="195">
        <v>4790</v>
      </c>
    </row>
    <row r="133" spans="1:12" ht="38.25" thickBot="1" x14ac:dyDescent="0.3">
      <c r="A133" s="191" t="s">
        <v>444</v>
      </c>
      <c r="B133" s="190">
        <v>0.03</v>
      </c>
      <c r="C133" s="191" t="s">
        <v>371</v>
      </c>
      <c r="D133" s="192">
        <v>3560</v>
      </c>
      <c r="E133" s="190">
        <v>0.03</v>
      </c>
      <c r="F133" s="191" t="s">
        <v>371</v>
      </c>
      <c r="G133" s="192">
        <v>3560</v>
      </c>
      <c r="H133" s="191"/>
      <c r="I133" s="191"/>
      <c r="J133" s="191"/>
      <c r="K133" s="191"/>
      <c r="L133" s="191"/>
    </row>
    <row r="134" spans="1:12" ht="38.25" thickBot="1" x14ac:dyDescent="0.3">
      <c r="A134" s="193" t="s">
        <v>444</v>
      </c>
      <c r="B134" s="194">
        <v>6.2E-2</v>
      </c>
      <c r="C134" s="193" t="s">
        <v>371</v>
      </c>
      <c r="D134" s="195">
        <v>17830</v>
      </c>
      <c r="E134" s="194">
        <v>6.2E-2</v>
      </c>
      <c r="F134" s="193" t="s">
        <v>371</v>
      </c>
      <c r="G134" s="195">
        <v>17830</v>
      </c>
      <c r="H134" s="193"/>
      <c r="I134" s="193"/>
      <c r="J134" s="193"/>
      <c r="K134" s="193"/>
      <c r="L134" s="193"/>
    </row>
    <row r="135" spans="1:12" ht="20.25" thickBot="1" x14ac:dyDescent="0.3">
      <c r="A135" s="189" t="s">
        <v>347</v>
      </c>
      <c r="B135" s="191" t="s">
        <v>373</v>
      </c>
      <c r="C135" s="191"/>
      <c r="D135" s="191"/>
      <c r="E135" s="191" t="s">
        <v>373</v>
      </c>
      <c r="F135" s="191"/>
      <c r="G135" s="191"/>
      <c r="H135" s="191" t="s">
        <v>374</v>
      </c>
      <c r="I135" s="191" t="s">
        <v>374</v>
      </c>
      <c r="J135" s="191" t="s">
        <v>374</v>
      </c>
      <c r="K135" s="191" t="s">
        <v>374</v>
      </c>
      <c r="L135" s="191" t="s">
        <v>374</v>
      </c>
    </row>
    <row r="136" spans="1:12" ht="20.25" thickBot="1" x14ac:dyDescent="0.3">
      <c r="A136" s="196" t="s">
        <v>348</v>
      </c>
      <c r="B136" s="193" t="s">
        <v>373</v>
      </c>
      <c r="C136" s="193"/>
      <c r="D136" s="193"/>
      <c r="E136" s="193" t="s">
        <v>373</v>
      </c>
      <c r="F136" s="193"/>
      <c r="G136" s="193"/>
      <c r="H136" s="193" t="s">
        <v>374</v>
      </c>
      <c r="I136" s="193" t="s">
        <v>374</v>
      </c>
      <c r="J136" s="193" t="s">
        <v>374</v>
      </c>
      <c r="K136" s="193" t="s">
        <v>374</v>
      </c>
      <c r="L136" s="193" t="s">
        <v>374</v>
      </c>
    </row>
    <row r="137" spans="1:12" ht="20.25" thickBot="1" x14ac:dyDescent="0.3">
      <c r="A137" s="189" t="s">
        <v>350</v>
      </c>
      <c r="B137" s="191" t="s">
        <v>373</v>
      </c>
      <c r="C137" s="191"/>
      <c r="D137" s="191"/>
      <c r="E137" s="191" t="s">
        <v>373</v>
      </c>
      <c r="F137" s="191"/>
      <c r="G137" s="191"/>
      <c r="H137" s="191" t="s">
        <v>374</v>
      </c>
      <c r="I137" s="191" t="s">
        <v>374</v>
      </c>
      <c r="J137" s="191" t="s">
        <v>374</v>
      </c>
      <c r="K137" s="191" t="s">
        <v>374</v>
      </c>
      <c r="L137" s="191" t="s">
        <v>374</v>
      </c>
    </row>
    <row r="138" spans="1:12" ht="39" thickBot="1" x14ac:dyDescent="0.3">
      <c r="A138" s="196" t="s">
        <v>445</v>
      </c>
      <c r="B138" s="194">
        <v>4.5499999999999999E-2</v>
      </c>
      <c r="C138" s="193" t="s">
        <v>371</v>
      </c>
      <c r="D138" s="195">
        <v>0</v>
      </c>
      <c r="E138" s="194">
        <v>4.5499999999999999E-2</v>
      </c>
      <c r="F138" s="193" t="s">
        <v>371</v>
      </c>
      <c r="G138" s="195">
        <v>0</v>
      </c>
      <c r="H138" s="193" t="s">
        <v>446</v>
      </c>
      <c r="I138" s="193" t="s">
        <v>447</v>
      </c>
      <c r="J138" s="193" t="s">
        <v>374</v>
      </c>
      <c r="K138" s="193" t="s">
        <v>374</v>
      </c>
      <c r="L138" s="195">
        <v>2046</v>
      </c>
    </row>
    <row r="139" spans="1:12" ht="39" thickBot="1" x14ac:dyDescent="0.3">
      <c r="A139" s="189" t="s">
        <v>448</v>
      </c>
      <c r="B139" s="190">
        <v>3.3500000000000002E-2</v>
      </c>
      <c r="C139" s="191" t="s">
        <v>371</v>
      </c>
      <c r="D139" s="192">
        <v>0</v>
      </c>
      <c r="E139" s="190">
        <v>3.3500000000000002E-2</v>
      </c>
      <c r="F139" s="191" t="s">
        <v>371</v>
      </c>
      <c r="G139" s="192">
        <v>0</v>
      </c>
      <c r="H139" s="192">
        <v>7400</v>
      </c>
      <c r="I139" s="192">
        <v>14850</v>
      </c>
      <c r="J139" s="192">
        <v>5100</v>
      </c>
      <c r="K139" s="192">
        <v>10200</v>
      </c>
      <c r="L139" s="192">
        <v>5100</v>
      </c>
    </row>
    <row r="140" spans="1:12" ht="19.5" thickBot="1" x14ac:dyDescent="0.3">
      <c r="A140" s="193" t="s">
        <v>449</v>
      </c>
      <c r="B140" s="194">
        <v>6.6000000000000003E-2</v>
      </c>
      <c r="C140" s="193" t="s">
        <v>371</v>
      </c>
      <c r="D140" s="195">
        <v>47900</v>
      </c>
      <c r="E140" s="194">
        <v>6.6000000000000003E-2</v>
      </c>
      <c r="F140" s="193" t="s">
        <v>371</v>
      </c>
      <c r="G140" s="195">
        <v>79950</v>
      </c>
      <c r="H140" s="193"/>
      <c r="I140" s="193"/>
      <c r="J140" s="193"/>
      <c r="K140" s="193"/>
      <c r="L140" s="193"/>
    </row>
    <row r="141" spans="1:12" ht="19.5" thickBot="1" x14ac:dyDescent="0.3">
      <c r="A141" s="191" t="s">
        <v>449</v>
      </c>
      <c r="B141" s="190">
        <v>7.5999999999999998E-2</v>
      </c>
      <c r="C141" s="191" t="s">
        <v>371</v>
      </c>
      <c r="D141" s="192">
        <v>116000</v>
      </c>
      <c r="E141" s="190">
        <v>7.5999999999999998E-2</v>
      </c>
      <c r="F141" s="191" t="s">
        <v>371</v>
      </c>
      <c r="G141" s="192">
        <v>193300</v>
      </c>
      <c r="H141" s="191"/>
      <c r="I141" s="191"/>
      <c r="J141" s="191"/>
      <c r="K141" s="191"/>
      <c r="L141" s="191"/>
    </row>
    <row r="142" spans="1:12" ht="19.5" thickBot="1" x14ac:dyDescent="0.3">
      <c r="A142" s="193" t="s">
        <v>449</v>
      </c>
      <c r="B142" s="194">
        <v>8.7499999999999994E-2</v>
      </c>
      <c r="C142" s="193" t="s">
        <v>371</v>
      </c>
      <c r="D142" s="195">
        <v>242000</v>
      </c>
      <c r="E142" s="194">
        <v>8.7499999999999994E-2</v>
      </c>
      <c r="F142" s="193" t="s">
        <v>371</v>
      </c>
      <c r="G142" s="195">
        <v>294600</v>
      </c>
      <c r="H142" s="193"/>
      <c r="I142" s="193"/>
      <c r="J142" s="193"/>
      <c r="K142" s="193"/>
      <c r="L142" s="193"/>
    </row>
    <row r="143" spans="1:12" ht="20.25" thickBot="1" x14ac:dyDescent="0.3">
      <c r="A143" s="189" t="s">
        <v>450</v>
      </c>
      <c r="B143" s="190">
        <v>0.02</v>
      </c>
      <c r="C143" s="191" t="s">
        <v>371</v>
      </c>
      <c r="D143" s="192">
        <v>0</v>
      </c>
      <c r="E143" s="190">
        <v>0.02</v>
      </c>
      <c r="F143" s="191" t="s">
        <v>371</v>
      </c>
      <c r="G143" s="192">
        <v>0</v>
      </c>
      <c r="H143" s="192">
        <v>8500</v>
      </c>
      <c r="I143" s="192">
        <v>17000</v>
      </c>
      <c r="J143" s="192">
        <v>930</v>
      </c>
      <c r="K143" s="192">
        <v>1860</v>
      </c>
      <c r="L143" s="192">
        <v>930</v>
      </c>
    </row>
    <row r="144" spans="1:12" ht="19.5" thickBot="1" x14ac:dyDescent="0.3">
      <c r="A144" s="193" t="s">
        <v>451</v>
      </c>
      <c r="B144" s="194">
        <v>0.03</v>
      </c>
      <c r="C144" s="193" t="s">
        <v>371</v>
      </c>
      <c r="D144" s="195">
        <v>3000</v>
      </c>
      <c r="E144" s="194">
        <v>0.03</v>
      </c>
      <c r="F144" s="193" t="s">
        <v>371</v>
      </c>
      <c r="G144" s="195">
        <v>3000</v>
      </c>
      <c r="H144" s="193"/>
      <c r="I144" s="193"/>
      <c r="J144" s="193"/>
      <c r="K144" s="193"/>
      <c r="L144" s="193"/>
    </row>
    <row r="145" spans="1:12" ht="19.5" thickBot="1" x14ac:dyDescent="0.3">
      <c r="A145" s="191" t="s">
        <v>451</v>
      </c>
      <c r="B145" s="190">
        <v>0.05</v>
      </c>
      <c r="C145" s="191" t="s">
        <v>371</v>
      </c>
      <c r="D145" s="192">
        <v>5000</v>
      </c>
      <c r="E145" s="190">
        <v>0.05</v>
      </c>
      <c r="F145" s="191" t="s">
        <v>371</v>
      </c>
      <c r="G145" s="192">
        <v>5000</v>
      </c>
      <c r="H145" s="191"/>
      <c r="I145" s="191"/>
      <c r="J145" s="191"/>
      <c r="K145" s="191"/>
      <c r="L145" s="191"/>
    </row>
    <row r="146" spans="1:12" ht="19.5" thickBot="1" x14ac:dyDescent="0.3">
      <c r="A146" s="193" t="s">
        <v>451</v>
      </c>
      <c r="B146" s="194">
        <v>5.7500000000000002E-2</v>
      </c>
      <c r="C146" s="193" t="s">
        <v>371</v>
      </c>
      <c r="D146" s="195">
        <v>17000</v>
      </c>
      <c r="E146" s="194">
        <v>5.7500000000000002E-2</v>
      </c>
      <c r="F146" s="193" t="s">
        <v>371</v>
      </c>
      <c r="G146" s="195">
        <v>17000</v>
      </c>
      <c r="H146" s="193"/>
      <c r="I146" s="193"/>
      <c r="J146" s="193"/>
      <c r="K146" s="193"/>
      <c r="L146" s="193"/>
    </row>
    <row r="147" spans="1:12" ht="57" thickBot="1" x14ac:dyDescent="0.3">
      <c r="A147" s="189" t="s">
        <v>452</v>
      </c>
      <c r="B147" s="191" t="s">
        <v>453</v>
      </c>
      <c r="C147" s="191"/>
      <c r="D147" s="191"/>
      <c r="E147" s="191" t="s">
        <v>453</v>
      </c>
      <c r="F147" s="191"/>
      <c r="G147" s="191"/>
      <c r="H147" s="192">
        <v>270000</v>
      </c>
      <c r="I147" s="192">
        <v>270000</v>
      </c>
      <c r="J147" s="191" t="s">
        <v>374</v>
      </c>
      <c r="K147" s="191" t="s">
        <v>374</v>
      </c>
      <c r="L147" s="191" t="s">
        <v>374</v>
      </c>
    </row>
    <row r="148" spans="1:12" ht="58.5" thickBot="1" x14ac:dyDescent="0.3">
      <c r="A148" s="196" t="s">
        <v>454</v>
      </c>
      <c r="B148" s="194">
        <v>2.2200000000000001E-2</v>
      </c>
      <c r="C148" s="193" t="s">
        <v>371</v>
      </c>
      <c r="D148" s="195">
        <v>0</v>
      </c>
      <c r="E148" s="194">
        <v>2.2200000000000001E-2</v>
      </c>
      <c r="F148" s="193" t="s">
        <v>371</v>
      </c>
      <c r="G148" s="195">
        <v>0</v>
      </c>
      <c r="H148" s="193" t="s">
        <v>374</v>
      </c>
      <c r="I148" s="193" t="s">
        <v>374</v>
      </c>
      <c r="J148" s="195">
        <v>2000</v>
      </c>
      <c r="K148" s="195">
        <v>4000</v>
      </c>
      <c r="L148" s="195">
        <v>2000</v>
      </c>
    </row>
    <row r="149" spans="1:12" ht="38.25" thickBot="1" x14ac:dyDescent="0.3">
      <c r="A149" s="191" t="s">
        <v>455</v>
      </c>
      <c r="B149" s="190">
        <v>2.9600000000000001E-2</v>
      </c>
      <c r="C149" s="191" t="s">
        <v>371</v>
      </c>
      <c r="D149" s="192">
        <v>10000</v>
      </c>
      <c r="E149" s="190">
        <v>2.9600000000000001E-2</v>
      </c>
      <c r="F149" s="191" t="s">
        <v>371</v>
      </c>
      <c r="G149" s="192">
        <v>10000</v>
      </c>
      <c r="H149" s="191"/>
      <c r="I149" s="191"/>
      <c r="J149" s="191"/>
      <c r="K149" s="191"/>
      <c r="L149" s="191"/>
    </row>
    <row r="150" spans="1:12" ht="38.25" thickBot="1" x14ac:dyDescent="0.3">
      <c r="A150" s="193" t="s">
        <v>455</v>
      </c>
      <c r="B150" s="194">
        <v>3.3300000000000003E-2</v>
      </c>
      <c r="C150" s="193" t="s">
        <v>371</v>
      </c>
      <c r="D150" s="195">
        <v>25000</v>
      </c>
      <c r="E150" s="194">
        <v>3.3300000000000003E-2</v>
      </c>
      <c r="F150" s="193" t="s">
        <v>371</v>
      </c>
      <c r="G150" s="195">
        <v>25000</v>
      </c>
      <c r="H150" s="193"/>
      <c r="I150" s="193"/>
      <c r="J150" s="193"/>
      <c r="K150" s="193"/>
      <c r="L150" s="193"/>
    </row>
    <row r="151" spans="1:12" ht="38.25" thickBot="1" x14ac:dyDescent="0.3">
      <c r="A151" s="191" t="s">
        <v>455</v>
      </c>
      <c r="B151" s="190">
        <v>4.4400000000000002E-2</v>
      </c>
      <c r="C151" s="191" t="s">
        <v>371</v>
      </c>
      <c r="D151" s="192">
        <v>40000</v>
      </c>
      <c r="E151" s="190">
        <v>4.4400000000000002E-2</v>
      </c>
      <c r="F151" s="191" t="s">
        <v>371</v>
      </c>
      <c r="G151" s="192">
        <v>40000</v>
      </c>
      <c r="H151" s="191"/>
      <c r="I151" s="191"/>
      <c r="J151" s="191"/>
      <c r="K151" s="191"/>
      <c r="L151" s="191"/>
    </row>
    <row r="152" spans="1:12" ht="38.25" thickBot="1" x14ac:dyDescent="0.3">
      <c r="A152" s="193" t="s">
        <v>455</v>
      </c>
      <c r="B152" s="194">
        <v>4.82E-2</v>
      </c>
      <c r="C152" s="193" t="s">
        <v>371</v>
      </c>
      <c r="D152" s="195">
        <v>60000</v>
      </c>
      <c r="E152" s="194">
        <v>4.82E-2</v>
      </c>
      <c r="F152" s="193" t="s">
        <v>371</v>
      </c>
      <c r="G152" s="195">
        <v>60000</v>
      </c>
      <c r="H152" s="193"/>
      <c r="I152" s="193"/>
      <c r="J152" s="193"/>
      <c r="K152" s="193"/>
      <c r="L152" s="193"/>
    </row>
    <row r="153" spans="1:12" ht="39" thickBot="1" x14ac:dyDescent="0.3">
      <c r="A153" s="189" t="s">
        <v>456</v>
      </c>
      <c r="B153" s="190">
        <v>3.5000000000000003E-2</v>
      </c>
      <c r="C153" s="191" t="s">
        <v>371</v>
      </c>
      <c r="D153" s="192">
        <v>0</v>
      </c>
      <c r="E153" s="190">
        <v>3.5000000000000003E-2</v>
      </c>
      <c r="F153" s="191" t="s">
        <v>371</v>
      </c>
      <c r="G153" s="192">
        <v>0</v>
      </c>
      <c r="H153" s="192">
        <v>13560</v>
      </c>
      <c r="I153" s="192">
        <v>25110</v>
      </c>
      <c r="J153" s="192">
        <v>700</v>
      </c>
      <c r="K153" s="192">
        <v>1400</v>
      </c>
      <c r="L153" s="192">
        <v>700</v>
      </c>
    </row>
    <row r="154" spans="1:12" ht="19.5" thickBot="1" x14ac:dyDescent="0.3">
      <c r="A154" s="193" t="s">
        <v>457</v>
      </c>
      <c r="B154" s="194">
        <v>4.3999999999999997E-2</v>
      </c>
      <c r="C154" s="193" t="s">
        <v>371</v>
      </c>
      <c r="D154" s="195">
        <v>14680</v>
      </c>
      <c r="E154" s="194">
        <v>4.3999999999999997E-2</v>
      </c>
      <c r="F154" s="193" t="s">
        <v>371</v>
      </c>
      <c r="G154" s="195">
        <v>19580</v>
      </c>
      <c r="H154" s="193"/>
      <c r="I154" s="193"/>
      <c r="J154" s="193"/>
      <c r="K154" s="193"/>
      <c r="L154" s="193"/>
    </row>
    <row r="155" spans="1:12" ht="19.5" thickBot="1" x14ac:dyDescent="0.3">
      <c r="A155" s="191" t="s">
        <v>457</v>
      </c>
      <c r="B155" s="190">
        <v>5.2999999999999999E-2</v>
      </c>
      <c r="C155" s="191" t="s">
        <v>371</v>
      </c>
      <c r="D155" s="192">
        <v>29370</v>
      </c>
      <c r="E155" s="190">
        <v>5.2999999999999999E-2</v>
      </c>
      <c r="F155" s="191" t="s">
        <v>371</v>
      </c>
      <c r="G155" s="192">
        <v>39150</v>
      </c>
      <c r="H155" s="191"/>
      <c r="I155" s="191"/>
      <c r="J155" s="191"/>
      <c r="K155" s="191"/>
      <c r="L155" s="191"/>
    </row>
    <row r="156" spans="1:12" ht="19.5" thickBot="1" x14ac:dyDescent="0.3">
      <c r="A156" s="193" t="s">
        <v>457</v>
      </c>
      <c r="B156" s="194">
        <v>7.6499999999999999E-2</v>
      </c>
      <c r="C156" s="193" t="s">
        <v>371</v>
      </c>
      <c r="D156" s="195">
        <v>323290</v>
      </c>
      <c r="E156" s="194">
        <v>7.6499999999999999E-2</v>
      </c>
      <c r="F156" s="193" t="s">
        <v>371</v>
      </c>
      <c r="G156" s="195">
        <v>431060</v>
      </c>
      <c r="H156" s="193"/>
      <c r="I156" s="193"/>
      <c r="J156" s="193"/>
      <c r="K156" s="193"/>
      <c r="L156" s="193"/>
    </row>
    <row r="157" spans="1:12" ht="20.25" thickBot="1" x14ac:dyDescent="0.3">
      <c r="A157" s="189" t="s">
        <v>352</v>
      </c>
      <c r="B157" s="191" t="s">
        <v>373</v>
      </c>
      <c r="C157" s="191"/>
      <c r="D157" s="191"/>
      <c r="E157" s="191" t="s">
        <v>373</v>
      </c>
      <c r="F157" s="191"/>
      <c r="G157" s="191"/>
      <c r="H157" s="191" t="s">
        <v>374</v>
      </c>
      <c r="I157" s="191" t="s">
        <v>374</v>
      </c>
      <c r="J157" s="191" t="s">
        <v>374</v>
      </c>
      <c r="K157" s="191" t="s">
        <v>374</v>
      </c>
      <c r="L157" s="191" t="s">
        <v>374</v>
      </c>
    </row>
    <row r="158" spans="1:12" ht="39.75" thickBot="1" x14ac:dyDescent="0.3">
      <c r="A158" s="196" t="s">
        <v>458</v>
      </c>
      <c r="B158" s="194">
        <v>0.04</v>
      </c>
      <c r="C158" s="193" t="s">
        <v>371</v>
      </c>
      <c r="D158" s="195">
        <v>0</v>
      </c>
      <c r="E158" s="194">
        <v>0.04</v>
      </c>
      <c r="F158" s="193" t="s">
        <v>371</v>
      </c>
      <c r="G158" s="195">
        <v>0</v>
      </c>
      <c r="H158" s="195">
        <v>15000</v>
      </c>
      <c r="I158" s="195">
        <v>30000</v>
      </c>
      <c r="J158" s="193" t="s">
        <v>374</v>
      </c>
      <c r="K158" s="193" t="s">
        <v>374</v>
      </c>
      <c r="L158" s="193" t="s">
        <v>374</v>
      </c>
    </row>
    <row r="159" spans="1:12" ht="38.25" thickBot="1" x14ac:dyDescent="0.3">
      <c r="A159" s="191" t="s">
        <v>459</v>
      </c>
      <c r="B159" s="190">
        <v>0.06</v>
      </c>
      <c r="C159" s="191" t="s">
        <v>371</v>
      </c>
      <c r="D159" s="192">
        <v>10000</v>
      </c>
      <c r="E159" s="190">
        <v>0.06</v>
      </c>
      <c r="F159" s="191" t="s">
        <v>371</v>
      </c>
      <c r="G159" s="192">
        <v>10000</v>
      </c>
      <c r="H159" s="191"/>
      <c r="I159" s="191"/>
      <c r="J159" s="191"/>
      <c r="K159" s="191"/>
      <c r="L159" s="191"/>
    </row>
    <row r="160" spans="1:12" ht="38.25" thickBot="1" x14ac:dyDescent="0.3">
      <c r="A160" s="193" t="s">
        <v>459</v>
      </c>
      <c r="B160" s="194">
        <v>6.5000000000000002E-2</v>
      </c>
      <c r="C160" s="193" t="s">
        <v>371</v>
      </c>
      <c r="D160" s="195">
        <v>40000</v>
      </c>
      <c r="E160" s="194">
        <v>6.5000000000000002E-2</v>
      </c>
      <c r="F160" s="193" t="s">
        <v>371</v>
      </c>
      <c r="G160" s="195">
        <v>40000</v>
      </c>
      <c r="H160" s="193"/>
      <c r="I160" s="193"/>
      <c r="J160" s="193"/>
      <c r="K160" s="193"/>
      <c r="L160" s="193"/>
    </row>
    <row r="161" spans="1:12" ht="38.25" thickBot="1" x14ac:dyDescent="0.3">
      <c r="A161" s="191" t="s">
        <v>459</v>
      </c>
      <c r="B161" s="190">
        <v>8.5000000000000006E-2</v>
      </c>
      <c r="C161" s="191" t="s">
        <v>371</v>
      </c>
      <c r="D161" s="192">
        <v>60000</v>
      </c>
      <c r="E161" s="190">
        <v>8.5000000000000006E-2</v>
      </c>
      <c r="F161" s="191" t="s">
        <v>371</v>
      </c>
      <c r="G161" s="192">
        <v>60000</v>
      </c>
      <c r="H161" s="191"/>
      <c r="I161" s="191"/>
      <c r="J161" s="191"/>
      <c r="K161" s="191"/>
      <c r="L161" s="191"/>
    </row>
    <row r="162" spans="1:12" ht="38.25" thickBot="1" x14ac:dyDescent="0.3">
      <c r="A162" s="193" t="s">
        <v>459</v>
      </c>
      <c r="B162" s="194">
        <v>9.2499999999999999E-2</v>
      </c>
      <c r="C162" s="193" t="s">
        <v>371</v>
      </c>
      <c r="D162" s="195">
        <v>250000</v>
      </c>
      <c r="E162" s="194">
        <v>9.2499999999999999E-2</v>
      </c>
      <c r="F162" s="193" t="s">
        <v>371</v>
      </c>
      <c r="G162" s="195">
        <v>250000</v>
      </c>
      <c r="H162" s="193"/>
      <c r="I162" s="193"/>
      <c r="J162" s="193"/>
      <c r="K162" s="193"/>
      <c r="L162" s="193"/>
    </row>
    <row r="163" spans="1:12" ht="38.25" thickBot="1" x14ac:dyDescent="0.3">
      <c r="A163" s="197" t="s">
        <v>459</v>
      </c>
      <c r="B163" s="198">
        <v>9.7500000000000003E-2</v>
      </c>
      <c r="C163" s="197" t="s">
        <v>371</v>
      </c>
      <c r="D163" s="199">
        <v>500000</v>
      </c>
      <c r="E163" s="198">
        <v>9.7500000000000003E-2</v>
      </c>
      <c r="F163" s="197" t="s">
        <v>371</v>
      </c>
      <c r="G163" s="199">
        <v>500000</v>
      </c>
      <c r="H163" s="197"/>
      <c r="I163" s="197"/>
      <c r="J163" s="197"/>
      <c r="K163" s="197"/>
      <c r="L163" s="197"/>
    </row>
    <row r="164" spans="1:12" ht="38.25" thickBot="1" x14ac:dyDescent="0.3">
      <c r="A164" s="193" t="s">
        <v>459</v>
      </c>
      <c r="B164" s="194">
        <v>0.1075</v>
      </c>
      <c r="C164" s="193" t="s">
        <v>371</v>
      </c>
      <c r="D164" s="195">
        <v>1000000</v>
      </c>
      <c r="E164" s="194">
        <v>0.1075</v>
      </c>
      <c r="F164" s="193" t="s">
        <v>371</v>
      </c>
      <c r="G164" s="195">
        <v>1000000</v>
      </c>
      <c r="H164" s="193"/>
      <c r="I164" s="193"/>
      <c r="J164" s="193"/>
      <c r="K164" s="193"/>
      <c r="L164" s="187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3</vt:i4>
      </vt:variant>
    </vt:vector>
  </HeadingPairs>
  <TitlesOfParts>
    <vt:vector size="7" baseType="lpstr">
      <vt:lpstr>IRS Tax Estimator</vt:lpstr>
      <vt:lpstr>IL State Tax Estimator </vt:lpstr>
      <vt:lpstr>State Links and Rates</vt:lpstr>
      <vt:lpstr>Sheet1</vt:lpstr>
      <vt:lpstr>'IRS Tax Estimator'!status_list</vt:lpstr>
      <vt:lpstr>'IRS Tax Estimator'!tax_table</vt:lpstr>
      <vt:lpstr>'IRS Tax Estimator'!year_list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Pramod Zacharias</dc:creator>
  <cp:lastModifiedBy>Pramod Zacharias</cp:lastModifiedBy>
  <dcterms:created xsi:type="dcterms:W3CDTF">2025-12-18T15:28:03Z</dcterms:created>
  <dcterms:modified xsi:type="dcterms:W3CDTF">2025-12-23T04:26:10Z</dcterms:modified>
</cp:coreProperties>
</file>